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 windowHeight="1140" activeTab="0"/>
  </bookViews>
  <sheets>
    <sheet name="Лист1" sheetId="1" r:id="rId1"/>
  </sheets>
  <definedNames/>
  <calcPr fullCalcOnLoad="1"/>
</workbook>
</file>

<file path=xl/sharedStrings.xml><?xml version="1.0" encoding="utf-8"?>
<sst xmlns="http://schemas.openxmlformats.org/spreadsheetml/2006/main" count="278" uniqueCount="223">
  <si>
    <t>Додаток 3</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</si>
  <si>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</si>
  <si>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</si>
  <si>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</si>
  <si>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</si>
  <si>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</si>
  <si>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</si>
  <si>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</si>
  <si>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</si>
  <si>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</si>
  <si>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</si>
  <si>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</si>
  <si>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</si>
  <si>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</si>
  <si>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</si>
  <si>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</si>
  <si>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</si>
  <si>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0200000</t>
  </si>
  <si>
    <t>0210000</t>
  </si>
  <si>
    <t>0210150</t>
  </si>
  <si>
    <t>0111</t>
  </si>
  <si>
    <t>0150</t>
  </si>
  <si>
    <t>0210180</t>
  </si>
  <si>
    <t>0133</t>
  </si>
  <si>
    <t>0180</t>
  </si>
  <si>
    <t>Інша діяльність у сфері державного управління</t>
  </si>
  <si>
    <t>0212010</t>
  </si>
  <si>
    <t>0731</t>
  </si>
  <si>
    <t>2010</t>
  </si>
  <si>
    <t>0212111</t>
  </si>
  <si>
    <t>0726</t>
  </si>
  <si>
    <t>2111</t>
  </si>
  <si>
    <t>0213121</t>
  </si>
  <si>
    <t>1040</t>
  </si>
  <si>
    <t>3123</t>
  </si>
  <si>
    <t>Заходи державної політики з питань сім`ї</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</si>
  <si>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</si>
  <si>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</si>
  <si>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0215061</t>
  </si>
  <si>
    <t>0810</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</si>
  <si>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</si>
  <si>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</si>
  <si>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0216013</t>
  </si>
  <si>
    <t>0620</t>
  </si>
  <si>
    <t>6013</t>
  </si>
  <si>
    <t>Забезпечення діяльності водопровідно-каналізаційного господарства</t>
  </si>
  <si>
    <t>0216030</t>
  </si>
  <si>
    <t>6030</t>
  </si>
  <si>
    <t>Організація благоустрою населених пунктів</t>
  </si>
  <si>
    <t>0490</t>
  </si>
  <si>
    <t>0217461</t>
  </si>
  <si>
    <t>0456</t>
  </si>
  <si>
    <t>7461</t>
  </si>
  <si>
    <t>Утримання та розвиток автомобільних доріг та дорожньої інфраструктури за рахунок коштів місцевого бюджету</t>
  </si>
  <si>
    <t>0217680</t>
  </si>
  <si>
    <t>7680</t>
  </si>
  <si>
    <t>Членські внески до асоціацій органів місцевого самоврядування</t>
  </si>
  <si>
    <t>Охорона та раціональне використання природних ресурсів</t>
  </si>
  <si>
    <t>0600000</t>
  </si>
  <si>
    <t>0610000</t>
  </si>
  <si>
    <t>0610160</t>
  </si>
  <si>
    <t>0160</t>
  </si>
  <si>
    <t>0611010</t>
  </si>
  <si>
    <t>0910</t>
  </si>
  <si>
    <t>1010</t>
  </si>
  <si>
    <t>0921</t>
  </si>
  <si>
    <t>1020</t>
  </si>
  <si>
    <t>0960</t>
  </si>
  <si>
    <t>1090</t>
  </si>
  <si>
    <t>Надання позашкільної освіти закладами позашкільної освіти, заходи із позашкільної роботи з дітьми</t>
  </si>
  <si>
    <t>0990</t>
  </si>
  <si>
    <t>Інші програми та заходи у сфері освіти</t>
  </si>
  <si>
    <t>0615031</t>
  </si>
  <si>
    <t>5031</t>
  </si>
  <si>
    <t>Утримання та навчально-тренувальна робота комунальних дитячо-юнацьких спортивних шкіл</t>
  </si>
  <si>
    <t>0800000</t>
  </si>
  <si>
    <t>0810000</t>
  </si>
  <si>
    <t>0810160</t>
  </si>
  <si>
    <t>0813031</t>
  </si>
  <si>
    <t>1030</t>
  </si>
  <si>
    <t>3031</t>
  </si>
  <si>
    <t>Надання інших пільг окремим категоріям громадян відповідно до законодавства</t>
  </si>
  <si>
    <t>0813032</t>
  </si>
  <si>
    <t>1070</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</si>
  <si>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</si>
  <si>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</si>
  <si>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</si>
  <si>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</si>
  <si>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</si>
  <si>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</si>
  <si>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</si>
  <si>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</si>
  <si>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0813104</t>
  </si>
  <si>
    <t>3104</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</si>
  <si>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</si>
  <si>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</si>
  <si>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</si>
  <si>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</si>
  <si>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</si>
  <si>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Інші заходи у сфері соціального захисту і соціального забезпечення</t>
  </si>
  <si>
    <t>1000000</t>
  </si>
  <si>
    <t>1010000</t>
  </si>
  <si>
    <t>1010160</t>
  </si>
  <si>
    <t>1014030</t>
  </si>
  <si>
    <t>0824</t>
  </si>
  <si>
    <t>4030</t>
  </si>
  <si>
    <t>1014040</t>
  </si>
  <si>
    <t>4040</t>
  </si>
  <si>
    <t>Забезпечення діяльності музеїв i виставок</t>
  </si>
  <si>
    <t>1014060</t>
  </si>
  <si>
    <t>0828</t>
  </si>
  <si>
    <t>4060</t>
  </si>
  <si>
    <t>1014081</t>
  </si>
  <si>
    <t>0829</t>
  </si>
  <si>
    <t>4081</t>
  </si>
  <si>
    <t>Забезпечення діяльності інших закладів в галузі культури і мистецтва</t>
  </si>
  <si>
    <t>1014082</t>
  </si>
  <si>
    <t>4082</t>
  </si>
  <si>
    <t>Інші заходи в галузі культури і мистецтва</t>
  </si>
  <si>
    <t>3700000</t>
  </si>
  <si>
    <t>3710000</t>
  </si>
  <si>
    <t>3710160</t>
  </si>
  <si>
    <t>X</t>
  </si>
  <si>
    <t>УСЬОГО</t>
  </si>
  <si>
    <t>(код бюджету)</t>
  </si>
  <si>
    <t>0511</t>
  </si>
  <si>
    <t>0218311</t>
  </si>
  <si>
    <t>Забезпечення діяльності інших закладів у сфері освіти</t>
  </si>
  <si>
    <t>3718710</t>
  </si>
  <si>
    <t>8710</t>
  </si>
  <si>
    <t>Резервний фонд місцевого бюджету</t>
  </si>
  <si>
    <t>Керівництво і управління у відповідній сфері у містах (місті Києві), селищах, селах, територіальних громадах</t>
  </si>
  <si>
    <t>Утримання та забезпечення діяльності центрів соціальних служб</t>
  </si>
  <si>
    <t>1011080</t>
  </si>
  <si>
    <t>1080</t>
  </si>
  <si>
    <t>0611021</t>
  </si>
  <si>
    <t>1021</t>
  </si>
  <si>
    <t xml:space="preserve">Надання загальної середньої освіти закладами загальної середньої освіти </t>
  </si>
  <si>
    <t>0611031</t>
  </si>
  <si>
    <t>1031</t>
  </si>
  <si>
    <t>0611070</t>
  </si>
  <si>
    <t>0611141</t>
  </si>
  <si>
    <t>1141</t>
  </si>
  <si>
    <t>0611142</t>
  </si>
  <si>
    <t>1142</t>
  </si>
  <si>
    <t>0611160</t>
  </si>
  <si>
    <t>1160</t>
  </si>
  <si>
    <t>Забезпечення діяльності центрів професійного розвитку педагогічних працівників</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</si>
  <si>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</si>
  <si>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</si>
  <si>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</si>
  <si>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0217361</t>
  </si>
  <si>
    <t>7361</t>
  </si>
  <si>
    <t>0219770</t>
  </si>
  <si>
    <t>Багатопрофільна стаціонарна медична допомога населенню, в т.ч.:</t>
  </si>
  <si>
    <t>за рахунок додаткової дотації з державного бюджету місцевим бюджетам на здійснення переданих з державного бюджету видатків з утримання закладів освіти та охорони здоров'я</t>
  </si>
  <si>
    <t>Надання загальної середньої освіти закладами загальної середньої освіти, в т.ч.:</t>
  </si>
  <si>
    <t>Забезпечення діяльності палаців i будинків культури, клубів, центрів дозвілля та iнших клубних закладів</t>
  </si>
  <si>
    <t>1013123</t>
  </si>
  <si>
    <t>видатків бюджету Люботинської міської територіальної громади на 2022 рік</t>
  </si>
  <si>
    <t>1013140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</si>
  <si>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</si>
  <si>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r>
      <t xml:space="preserve">Виконавчий комітет Люботинської міської  ради Харківської області </t>
    </r>
    <r>
      <rPr>
        <i/>
        <sz val="10"/>
        <rFont val="Times New Roman"/>
        <family val="1"/>
      </rPr>
      <t>(головний розпорядник)</t>
    </r>
  </si>
  <si>
    <r>
      <t xml:space="preserve">Виконавчий комітет Люботинської міської  ради Харківської області </t>
    </r>
    <r>
      <rPr>
        <i/>
        <sz val="10"/>
        <rFont val="Times New Roman"/>
        <family val="1"/>
      </rPr>
      <t>(відповідальний виконавець)</t>
    </r>
  </si>
  <si>
    <r>
      <t xml:space="preserve">Відділ  освіти Люботинської міської ради </t>
    </r>
    <r>
      <rPr>
        <i/>
        <sz val="10"/>
        <rFont val="Times New Roman"/>
        <family val="1"/>
      </rPr>
      <t>(головний розпорядник)</t>
    </r>
  </si>
  <si>
    <r>
      <t xml:space="preserve">Відділ  освіти Люботинської міської ради </t>
    </r>
    <r>
      <rPr>
        <i/>
        <sz val="10"/>
        <rFont val="Times New Roman"/>
        <family val="1"/>
      </rPr>
      <t>(відповідальний виконавець)</t>
    </r>
  </si>
  <si>
    <r>
      <t xml:space="preserve">Управління  соціального захисту  населення Люботинської міської ради </t>
    </r>
    <r>
      <rPr>
        <i/>
        <sz val="10"/>
        <rFont val="Times New Roman"/>
        <family val="1"/>
      </rPr>
      <t>(головний розпорядник)</t>
    </r>
  </si>
  <si>
    <r>
      <t xml:space="preserve">Управління  соціального захисту населення Люботинської міської ради </t>
    </r>
    <r>
      <rPr>
        <i/>
        <sz val="10"/>
        <rFont val="Times New Roman"/>
        <family val="1"/>
      </rPr>
      <t>(відповідальний виконавець)</t>
    </r>
  </si>
  <si>
    <r>
      <t xml:space="preserve">Відділ культури, молоді та спорту Люботинської міської ради Харківської області </t>
    </r>
    <r>
      <rPr>
        <i/>
        <sz val="10"/>
        <rFont val="Times New Roman"/>
        <family val="1"/>
      </rPr>
      <t>(головний розпорядник)</t>
    </r>
  </si>
  <si>
    <r>
      <t xml:space="preserve">Відділ культури, молоді та спорту Люботинської міської ради Харківської області </t>
    </r>
    <r>
      <rPr>
        <i/>
        <sz val="10"/>
        <rFont val="Times New Roman"/>
        <family val="1"/>
      </rPr>
      <t>(відповідальний виконавець)</t>
    </r>
  </si>
  <si>
    <r>
      <t>Фінансове управління Люботинської міської ради Харківської області</t>
    </r>
    <r>
      <rPr>
        <i/>
        <sz val="10"/>
        <rFont val="Times New Roman"/>
        <family val="1"/>
      </rPr>
      <t xml:space="preserve"> (головний розпорядник)</t>
    </r>
  </si>
  <si>
    <r>
      <t xml:space="preserve">Фінансове управління Люботинської міської  ради Харківської області </t>
    </r>
    <r>
      <rPr>
        <i/>
        <sz val="10"/>
        <rFont val="Times New Roman"/>
        <family val="1"/>
      </rPr>
      <t>(відповідальний виконавець)</t>
    </r>
  </si>
  <si>
    <t>Співфінансування інвестиційних проектів, що реалізуються за рахунок коштів державного фонду регіонального розвитку</t>
  </si>
  <si>
    <r>
      <t xml:space="preserve">Інші субвенції з місцевого бюджету </t>
    </r>
    <r>
      <rPr>
        <i/>
        <sz val="10"/>
        <rFont val="Times New Roman"/>
        <family val="1"/>
      </rPr>
      <t>(на виконання заходів Програми фінансування постійно діючої військово-лікарської комісії при Харківському РТЦК та СП для підтримки заходів щодо проведення приписки громадян до призовної дільниці, призову громадян на строкову військову службу, військову службу за контрактом та медичного переосвідчення військовозобов'язаних Люботинської міської територіальної громади на 2022-2024 роки)</t>
    </r>
  </si>
  <si>
    <t>Первинна медична допомога населенню, що надається центрами первинної медичної (медико-санітарної) допомоги</t>
  </si>
  <si>
    <t>3719750</t>
  </si>
  <si>
    <t>9750</t>
  </si>
  <si>
    <t>Субвенція з місцевого бюджету на співфінансування інвестиційних проектів</t>
  </si>
  <si>
    <t>0617363</t>
  </si>
  <si>
    <t>7363</t>
  </si>
  <si>
    <t>Виконання інвестиційних проектів в рамках здійснення заходів щодо соціально-економічного розвитку окремих територій</t>
  </si>
  <si>
    <t>0217363</t>
  </si>
  <si>
    <t>0443</t>
  </si>
  <si>
    <t>0217350</t>
  </si>
  <si>
    <t>7350</t>
  </si>
  <si>
    <t>Розроблення схем планування та забудови територій (містобудівної документації)</t>
  </si>
  <si>
    <t>0218230</t>
  </si>
  <si>
    <t>0380</t>
  </si>
  <si>
    <t>Інші заходи громадського порядку та безпеки</t>
  </si>
  <si>
    <t>0219800</t>
  </si>
  <si>
    <t>Субвенція з місцевого бюджету державному бюджету на виконання програм соціально-економічного розвитку регіонів, в т.ч.:</t>
  </si>
  <si>
    <t>на виконання заходів п.п.3.1. Комплексної програми по забезпеченню охорони прав і свобод людини, протидії злочинності, підтримання публічної безпеки і порядку у місті Люботин на 2018-2022 роки</t>
  </si>
  <si>
    <t>0611061</t>
  </si>
  <si>
    <t>1061</t>
  </si>
  <si>
    <t>Надання загальної середньої освіти закладами загальної середньої освіти</t>
  </si>
  <si>
    <t>0217650</t>
  </si>
  <si>
    <t>7650</t>
  </si>
  <si>
    <t>Проведення експертної грошової оцінки земельної ділянки чи права на неї</t>
  </si>
  <si>
    <t>0217322</t>
  </si>
  <si>
    <t>Будівництво 1 медичних установ та закладів</t>
  </si>
  <si>
    <t>7322</t>
  </si>
  <si>
    <t>0217310</t>
  </si>
  <si>
    <t>7310</t>
  </si>
  <si>
    <t>Будівництво 1 об'єктів житлово-комунального господарства</t>
  </si>
  <si>
    <t>на виконання заходів п.п.1.1. Комплексної програми по захисту державного суверенітету, конституційного ладу, територіальної цілісності України, протидії тероризму, корупції та організованій злочинній діяльності на території Люботинської міської територіальної громади на 2021-2023 роки)</t>
  </si>
  <si>
    <t>0219750</t>
  </si>
  <si>
    <t>на виконання заходів Програми територіальної оборони Люботинської міської територіальної громади на 2022 рік</t>
  </si>
  <si>
    <t xml:space="preserve">до рішення Виконавчого комітету Люботинської міської ради </t>
  </si>
  <si>
    <t>0216011</t>
  </si>
  <si>
    <t>6011</t>
  </si>
  <si>
    <t>0610</t>
  </si>
  <si>
    <t>Експлуатація та технічне обслуговування житлового фонду</t>
  </si>
  <si>
    <t>Керуюча справами</t>
  </si>
  <si>
    <t>Лідія КУДЕНКО</t>
  </si>
  <si>
    <t>0218240</t>
  </si>
  <si>
    <t>Заходи та роботи з територіальної оборони</t>
  </si>
  <si>
    <t>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</si>
  <si>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в т.ч.:</t>
  </si>
  <si>
    <t>Надання спеціалізованої освіти мистецькими школами, в т.ч.:</t>
  </si>
  <si>
    <t>Забезпечення діяльності бібліотек, в т.ч.:</t>
  </si>
  <si>
    <t>Надання дошкільної освіти, в т.ч.:</t>
  </si>
  <si>
    <t>Нерозподілені кошти загального фонду міського бюджету</t>
  </si>
  <si>
    <t>від 13.05.2022р. № 84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</si>
</sst>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s>
  <fonts count="41">
    <font>
      <sz val="10"/>
      <color theme="1"/>
      <name val="Calibri"/>
      <family val="2"/>
    </font>
    <font>
      <sz val="10"/>
      <color indexed="8"/>
      <name val="Calibri"/>
      <family val="2"/>
    </font>
    <font>
      <sz val="10"/>
      <name val="Times New Roman"/>
      <family val="1"/>
    </font>
    <font>
      <i/>
      <sz val="10"/>
      <name val="Times New Roman"/>
      <family val="1"/>
    </font>
    <font>
      <sz val="10"/>
      <name val="Calibri"/>
      <family val="2"/>
    </font>
    <font>
      <sz val="8"/>
      <name val="Times New Roman"/>
      <family val="1"/>
    </font>
    <font>
      <b/>
      <sz val="10"/>
      <name val="Times New Roman"/>
      <family val="1"/>
    </font>
    <font>
      <b/>
      <sz val="11"/>
      <name val="Times New Roman"/>
      <family val="1"/>
    </font>
    <font>
      <sz val="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4"/>
      <name val="Calibri"/>
      <family val="2"/>
    </font>
    <font>
      <b/>
      <sz val="13"/>
      <color indexed="54"/>
      <name val="Calibri"/>
      <family val="2"/>
    </font>
    <font>
      <b/>
      <sz val="11"/>
      <color indexed="54"/>
      <name val="Calibri"/>
      <family val="2"/>
    </font>
    <font>
      <b/>
      <sz val="10"/>
      <color indexed="8"/>
      <name val="Calibri"/>
      <family val="2"/>
    </font>
    <font>
      <b/>
      <sz val="10"/>
      <color indexed="9"/>
      <name val="Calibri"/>
      <family val="2"/>
    </font>
    <font>
      <sz val="18"/>
      <color indexed="54"/>
      <name val="Calibri Light"/>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sz val="18"/>
      <color theme="3"/>
      <name val="Calibri Light"/>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56">
    <xf numFmtId="0" fontId="0" fillId="0" borderId="0" xfId="0" applyFont="1" applyAlignment="1">
      <alignment/>
    </xf>
    <xf numFmtId="0" fontId="2" fillId="0" borderId="0" xfId="0" applyFont="1" applyAlignment="1">
      <alignment/>
    </xf>
    <xf numFmtId="0" fontId="4" fillId="0" borderId="0" xfId="0" applyFont="1" applyAlignment="1">
      <alignment/>
    </xf>
    <xf numFmtId="3" fontId="6" fillId="33" borderId="10" xfId="0" applyNumberFormat="1" applyFont="1" applyFill="1" applyBorder="1" applyAlignment="1">
      <alignment vertical="center" wrapText="1"/>
    </xf>
    <xf numFmtId="3" fontId="6" fillId="0" borderId="10" xfId="0" applyNumberFormat="1" applyFont="1" applyBorder="1" applyAlignment="1">
      <alignment vertical="center" wrapText="1"/>
    </xf>
    <xf numFmtId="3" fontId="2" fillId="33" borderId="10" xfId="0" applyNumberFormat="1" applyFont="1" applyFill="1" applyBorder="1" applyAlignment="1">
      <alignment vertical="center" wrapText="1"/>
    </xf>
    <xf numFmtId="3" fontId="2" fillId="0" borderId="10" xfId="0" applyNumberFormat="1" applyFont="1" applyBorder="1" applyAlignment="1">
      <alignment vertical="center" wrapText="1"/>
    </xf>
    <xf numFmtId="3" fontId="2" fillId="34" borderId="10" xfId="0" applyNumberFormat="1" applyFont="1" applyFill="1" applyBorder="1" applyAlignment="1">
      <alignment vertical="center" wrapText="1"/>
    </xf>
    <xf numFmtId="3" fontId="6" fillId="34" borderId="10" xfId="0" applyNumberFormat="1"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quotePrefix="1">
      <alignment horizontal="center" vertical="center" wrapText="1"/>
    </xf>
    <xf numFmtId="4" fontId="6" fillId="33" borderId="10" xfId="0" applyNumberFormat="1" applyFont="1" applyFill="1" applyBorder="1" applyAlignment="1">
      <alignment horizontal="center" vertical="center" wrapText="1"/>
    </xf>
    <xf numFmtId="4" fontId="6" fillId="33" borderId="10" xfId="0" applyNumberFormat="1" applyFont="1" applyFill="1" applyBorder="1" applyAlignment="1" quotePrefix="1">
      <alignment vertical="center" wrapText="1"/>
    </xf>
    <xf numFmtId="0" fontId="2" fillId="34" borderId="0" xfId="0" applyFont="1" applyFill="1" applyAlignment="1">
      <alignment/>
    </xf>
    <xf numFmtId="0" fontId="2" fillId="0" borderId="11" xfId="0" applyFont="1" applyBorder="1" applyAlignment="1" quotePrefix="1">
      <alignment horizontal="center"/>
    </xf>
    <xf numFmtId="0" fontId="2" fillId="0" borderId="0" xfId="0" applyFont="1" applyAlignment="1">
      <alignment horizontal="center"/>
    </xf>
    <xf numFmtId="0" fontId="5" fillId="0" borderId="0" xfId="0" applyFont="1" applyAlignment="1">
      <alignment/>
    </xf>
    <xf numFmtId="0" fontId="2" fillId="0" borderId="0" xfId="0" applyFont="1" applyAlignment="1">
      <alignment horizontal="right"/>
    </xf>
    <xf numFmtId="3" fontId="3" fillId="33" borderId="10" xfId="0" applyNumberFormat="1" applyFont="1" applyFill="1" applyBorder="1" applyAlignment="1">
      <alignment vertical="center" wrapText="1"/>
    </xf>
    <xf numFmtId="3" fontId="3" fillId="0" borderId="10" xfId="0" applyNumberFormat="1" applyFont="1" applyBorder="1" applyAlignment="1">
      <alignment vertical="center" wrapText="1"/>
    </xf>
    <xf numFmtId="0" fontId="7" fillId="34" borderId="0" xfId="0" applyFont="1" applyFill="1" applyAlignment="1">
      <alignment/>
    </xf>
    <xf numFmtId="0" fontId="7" fillId="34" borderId="0" xfId="0" applyFont="1" applyFill="1" applyAlignment="1">
      <alignment horizontal="left"/>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2" fontId="6" fillId="34" borderId="10" xfId="0" applyNumberFormat="1" applyFont="1" applyFill="1" applyBorder="1" applyAlignment="1" quotePrefix="1">
      <alignment vertical="center" wrapText="1"/>
    </xf>
    <xf numFmtId="0" fontId="2" fillId="0" borderId="10" xfId="0" applyFont="1" applyBorder="1" applyAlignment="1" quotePrefix="1">
      <alignment horizontal="center" vertical="center" wrapText="1"/>
    </xf>
    <xf numFmtId="4" fontId="2" fillId="0" borderId="10" xfId="0" applyNumberFormat="1" applyFont="1" applyBorder="1" applyAlignment="1" quotePrefix="1">
      <alignment horizontal="center" vertical="center" wrapText="1"/>
    </xf>
    <xf numFmtId="4" fontId="2" fillId="34" borderId="10" xfId="0" applyNumberFormat="1" applyFont="1" applyFill="1" applyBorder="1" applyAlignment="1" quotePrefix="1">
      <alignment vertical="center" wrapText="1"/>
    </xf>
    <xf numFmtId="4" fontId="3" fillId="0" borderId="10" xfId="0" applyNumberFormat="1" applyFont="1" applyFill="1" applyBorder="1" applyAlignment="1" quotePrefix="1">
      <alignment vertical="center" wrapText="1"/>
    </xf>
    <xf numFmtId="0" fontId="2" fillId="34" borderId="10" xfId="0" applyFont="1" applyFill="1" applyBorder="1" applyAlignment="1" quotePrefix="1">
      <alignment horizontal="center" vertical="center" wrapText="1"/>
    </xf>
    <xf numFmtId="4" fontId="2" fillId="34" borderId="10" xfId="0" applyNumberFormat="1" applyFont="1" applyFill="1" applyBorder="1" applyAlignment="1" quotePrefix="1">
      <alignment horizontal="center" vertical="center" wrapText="1"/>
    </xf>
    <xf numFmtId="0" fontId="3" fillId="34" borderId="10" xfId="0" applyFont="1" applyFill="1" applyBorder="1" applyAlignment="1" quotePrefix="1">
      <alignment horizontal="center" vertical="center" wrapText="1"/>
    </xf>
    <xf numFmtId="4" fontId="3" fillId="34" borderId="10" xfId="0" applyNumberFormat="1" applyFont="1" applyFill="1" applyBorder="1" applyAlignment="1" quotePrefix="1">
      <alignment horizontal="center" vertical="center" wrapText="1"/>
    </xf>
    <xf numFmtId="0" fontId="3" fillId="0" borderId="0" xfId="0" applyFont="1" applyAlignment="1">
      <alignment/>
    </xf>
    <xf numFmtId="3" fontId="3" fillId="34" borderId="10"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0" fontId="2" fillId="35" borderId="10" xfId="0" applyFont="1" applyFill="1" applyBorder="1" applyAlignment="1" quotePrefix="1">
      <alignment horizontal="center" vertical="center" wrapText="1"/>
    </xf>
    <xf numFmtId="4" fontId="2" fillId="35" borderId="10" xfId="0" applyNumberFormat="1" applyFont="1" applyFill="1" applyBorder="1" applyAlignment="1" quotePrefix="1">
      <alignment horizontal="center" vertical="center" wrapText="1"/>
    </xf>
    <xf numFmtId="0" fontId="3" fillId="0" borderId="10" xfId="0" applyFont="1" applyBorder="1" applyAlignment="1" quotePrefix="1">
      <alignment horizontal="center" vertical="center" wrapText="1"/>
    </xf>
    <xf numFmtId="4" fontId="3" fillId="0" borderId="10" xfId="0" applyNumberFormat="1" applyFont="1" applyBorder="1" applyAlignment="1" quotePrefix="1">
      <alignment horizontal="center" vertical="center" wrapText="1"/>
    </xf>
    <xf numFmtId="4" fontId="3" fillId="34" borderId="10" xfId="0" applyNumberFormat="1" applyFont="1" applyFill="1" applyBorder="1" applyAlignment="1" quotePrefix="1">
      <alignment vertical="center" wrapText="1"/>
    </xf>
    <xf numFmtId="4" fontId="3" fillId="35" borderId="10" xfId="0" applyNumberFormat="1" applyFont="1" applyFill="1" applyBorder="1" applyAlignment="1" quotePrefix="1">
      <alignment vertical="center" wrapText="1"/>
    </xf>
    <xf numFmtId="4" fontId="2" fillId="35" borderId="10" xfId="0" applyNumberFormat="1" applyFont="1" applyFill="1" applyBorder="1" applyAlignment="1" quotePrefix="1">
      <alignment vertical="center" wrapText="1"/>
    </xf>
    <xf numFmtId="3" fontId="2" fillId="35" borderId="10" xfId="0" applyNumberFormat="1" applyFont="1" applyFill="1" applyBorder="1" applyAlignment="1">
      <alignment vertical="center" wrapText="1"/>
    </xf>
    <xf numFmtId="4" fontId="6" fillId="34" borderId="10" xfId="0" applyNumberFormat="1" applyFont="1" applyFill="1" applyBorder="1" applyAlignment="1" quotePrefix="1">
      <alignment vertical="center" wrapText="1"/>
    </xf>
    <xf numFmtId="0" fontId="2" fillId="0" borderId="0" xfId="0" applyFont="1" applyAlignment="1">
      <alignment horizontal="left"/>
    </xf>
    <xf numFmtId="0" fontId="2" fillId="0" borderId="10" xfId="0" applyFont="1" applyBorder="1" applyAlignment="1">
      <alignment horizontal="center" vertical="center" wrapText="1"/>
    </xf>
    <xf numFmtId="0" fontId="6" fillId="34" borderId="0" xfId="0" applyFont="1" applyFill="1" applyAlignment="1">
      <alignment horizontal="center"/>
    </xf>
    <xf numFmtId="0" fontId="2" fillId="34"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2" fillId="33" borderId="10" xfId="0" applyFont="1" applyFill="1" applyBorder="1" applyAlignment="1">
      <alignment horizontal="center" vertical="center" wrapText="1"/>
    </xf>
    <xf numFmtId="0" fontId="5"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
  <sheetViews>
    <sheetView showZeros="0" tabSelected="1" zoomScale="70" zoomScaleNormal="70" zoomScalePageLayoutView="0" workbookViewId="0" topLeftCell="B1">
      <selection activeCell="N4" sqref="N4"/>
    </sheetView>
  </sheetViews>
  <sheetFormatPr defaultColWidth="9.140625" defaultRowHeight="12.75"/>
  <cols>
    <col min="1" max="1" width="14.28125" style="2" customWidth="1"/>
    <col min="2" max="2" width="10.7109375" style="2" customWidth="1"/>
    <col min="3" max="3" width="9.7109375" style="2" customWidth="1"/>
    <col min="4" max="4" width="84.7109375" style="2" customWidth="1"/>
    <col min="5" max="5" width="12.28125" style="2" customWidth="1"/>
    <col min="6" max="6" width="12.8515625" style="2" customWidth="1"/>
    <col min="7" max="7" width="12.7109375" style="2" customWidth="1"/>
    <col min="8" max="8" width="10.7109375" style="2" customWidth="1"/>
    <col min="9" max="9" width="9.421875" style="2" customWidth="1"/>
    <col min="10" max="10" width="11.421875" style="2" customWidth="1"/>
    <col min="11" max="12" width="10.8515625" style="2" customWidth="1"/>
    <col min="13" max="13" width="9.7109375" style="2" customWidth="1"/>
    <col min="14" max="14" width="10.7109375" style="2" customWidth="1"/>
    <col min="15" max="15" width="11.00390625" style="2" customWidth="1"/>
    <col min="16" max="16" width="11.8515625" style="2" customWidth="1"/>
    <col min="17" max="16384" width="9.140625" style="2" customWidth="1"/>
  </cols>
  <sheetData>
    <row r="1" spans="12:16" s="1" customFormat="1" ht="16.5" customHeight="1">
      <c r="L1" s="15"/>
      <c r="M1" s="15"/>
      <c r="N1" s="48" t="s">
        <v>0</v>
      </c>
      <c r="O1" s="48"/>
      <c r="P1" s="48"/>
    </row>
    <row r="2" spans="14:16" s="1" customFormat="1" ht="37.5" customHeight="1">
      <c r="N2" s="52" t="s">
        <v>207</v>
      </c>
      <c r="O2" s="53"/>
      <c r="P2" s="53"/>
    </row>
    <row r="3" spans="14:16" s="1" customFormat="1" ht="19.5" customHeight="1">
      <c r="N3" s="52" t="s">
        <v>222</v>
      </c>
      <c r="O3" s="52"/>
      <c r="P3" s="52"/>
    </row>
    <row r="4" s="1" customFormat="1" ht="12.75"/>
    <row r="5" spans="1:16" s="13" customFormat="1" ht="12.75">
      <c r="A5" s="50" t="s">
        <v>1</v>
      </c>
      <c r="B5" s="51"/>
      <c r="C5" s="51"/>
      <c r="D5" s="51"/>
      <c r="E5" s="51"/>
      <c r="F5" s="51"/>
      <c r="G5" s="51"/>
      <c r="H5" s="51"/>
      <c r="I5" s="51"/>
      <c r="J5" s="51"/>
      <c r="K5" s="51"/>
      <c r="L5" s="51"/>
      <c r="M5" s="51"/>
      <c r="N5" s="51"/>
      <c r="O5" s="51"/>
      <c r="P5" s="51"/>
    </row>
    <row r="6" spans="1:16" s="13" customFormat="1" ht="12.75">
      <c r="A6" s="50" t="s">
        <v>159</v>
      </c>
      <c r="B6" s="51"/>
      <c r="C6" s="51"/>
      <c r="D6" s="51"/>
      <c r="E6" s="51"/>
      <c r="F6" s="51"/>
      <c r="G6" s="51"/>
      <c r="H6" s="51"/>
      <c r="I6" s="51"/>
      <c r="J6" s="51"/>
      <c r="K6" s="51"/>
      <c r="L6" s="51"/>
      <c r="M6" s="51"/>
      <c r="N6" s="51"/>
      <c r="O6" s="51"/>
      <c r="P6" s="51"/>
    </row>
    <row r="7" spans="1:16" s="1" customFormat="1" ht="12.75">
      <c r="A7" s="14">
        <v>20545000000</v>
      </c>
      <c r="B7" s="15"/>
      <c r="C7" s="15"/>
      <c r="D7" s="15"/>
      <c r="E7" s="15"/>
      <c r="F7" s="15"/>
      <c r="G7" s="15"/>
      <c r="H7" s="15"/>
      <c r="I7" s="15"/>
      <c r="J7" s="15"/>
      <c r="K7" s="15"/>
      <c r="L7" s="15"/>
      <c r="M7" s="15"/>
      <c r="N7" s="15"/>
      <c r="O7" s="15"/>
      <c r="P7" s="15"/>
    </row>
    <row r="8" spans="1:16" s="1" customFormat="1" ht="12.75">
      <c r="A8" s="16" t="s">
        <v>124</v>
      </c>
      <c r="P8" s="17" t="s">
        <v>2</v>
      </c>
    </row>
    <row r="9" spans="1:16" s="1" customFormat="1" ht="12.75">
      <c r="A9" s="55" t="s">
        <v>3</v>
      </c>
      <c r="B9" s="55" t="s">
        <v>4</v>
      </c>
      <c r="C9" s="55" t="s">
        <v>5</v>
      </c>
      <c r="D9" s="49" t="s">
        <v>6</v>
      </c>
      <c r="E9" s="49" t="s">
        <v>7</v>
      </c>
      <c r="F9" s="49"/>
      <c r="G9" s="49"/>
      <c r="H9" s="49"/>
      <c r="I9" s="49"/>
      <c r="J9" s="49" t="s">
        <v>14</v>
      </c>
      <c r="K9" s="49"/>
      <c r="L9" s="49"/>
      <c r="M9" s="49"/>
      <c r="N9" s="49"/>
      <c r="O9" s="49"/>
      <c r="P9" s="54" t="s">
        <v>16</v>
      </c>
    </row>
    <row r="10" spans="1:16" s="1" customFormat="1" ht="12.75">
      <c r="A10" s="49"/>
      <c r="B10" s="49"/>
      <c r="C10" s="49"/>
      <c r="D10" s="49"/>
      <c r="E10" s="54" t="s">
        <v>8</v>
      </c>
      <c r="F10" s="49" t="s">
        <v>9</v>
      </c>
      <c r="G10" s="49" t="s">
        <v>10</v>
      </c>
      <c r="H10" s="49"/>
      <c r="I10" s="49" t="s">
        <v>13</v>
      </c>
      <c r="J10" s="54" t="s">
        <v>8</v>
      </c>
      <c r="K10" s="49" t="s">
        <v>15</v>
      </c>
      <c r="L10" s="49" t="s">
        <v>9</v>
      </c>
      <c r="M10" s="49" t="s">
        <v>10</v>
      </c>
      <c r="N10" s="49"/>
      <c r="O10" s="49" t="s">
        <v>13</v>
      </c>
      <c r="P10" s="49"/>
    </row>
    <row r="11" spans="1:16" s="1" customFormat="1" ht="12.75">
      <c r="A11" s="49"/>
      <c r="B11" s="49"/>
      <c r="C11" s="49"/>
      <c r="D11" s="49"/>
      <c r="E11" s="49"/>
      <c r="F11" s="49"/>
      <c r="G11" s="49" t="s">
        <v>11</v>
      </c>
      <c r="H11" s="49" t="s">
        <v>12</v>
      </c>
      <c r="I11" s="49"/>
      <c r="J11" s="49"/>
      <c r="K11" s="49"/>
      <c r="L11" s="49"/>
      <c r="M11" s="49" t="s">
        <v>11</v>
      </c>
      <c r="N11" s="49" t="s">
        <v>12</v>
      </c>
      <c r="O11" s="49"/>
      <c r="P11" s="49"/>
    </row>
    <row r="12" spans="1:16" s="1" customFormat="1" ht="50.25" customHeight="1">
      <c r="A12" s="49"/>
      <c r="B12" s="49"/>
      <c r="C12" s="49"/>
      <c r="D12" s="49"/>
      <c r="E12" s="49"/>
      <c r="F12" s="49"/>
      <c r="G12" s="49"/>
      <c r="H12" s="49"/>
      <c r="I12" s="49"/>
      <c r="J12" s="49"/>
      <c r="K12" s="49"/>
      <c r="L12" s="49"/>
      <c r="M12" s="49"/>
      <c r="N12" s="49"/>
      <c r="O12" s="49"/>
      <c r="P12" s="49"/>
    </row>
    <row r="13" spans="1:16" s="1" customFormat="1" ht="12.75">
      <c r="A13" s="23">
        <v>1</v>
      </c>
      <c r="B13" s="23">
        <v>2</v>
      </c>
      <c r="C13" s="23">
        <v>3</v>
      </c>
      <c r="D13" s="23">
        <v>4</v>
      </c>
      <c r="E13" s="22">
        <v>5</v>
      </c>
      <c r="F13" s="23">
        <v>6</v>
      </c>
      <c r="G13" s="23">
        <v>7</v>
      </c>
      <c r="H13" s="23">
        <v>8</v>
      </c>
      <c r="I13" s="23">
        <v>9</v>
      </c>
      <c r="J13" s="22">
        <v>10</v>
      </c>
      <c r="K13" s="23">
        <v>11</v>
      </c>
      <c r="L13" s="23">
        <v>12</v>
      </c>
      <c r="M13" s="23">
        <v>13</v>
      </c>
      <c r="N13" s="23">
        <v>14</v>
      </c>
      <c r="O13" s="23">
        <v>15</v>
      </c>
      <c r="P13" s="22">
        <v>16</v>
      </c>
    </row>
    <row r="14" spans="1:16" s="1" customFormat="1" ht="30.75" customHeight="1">
      <c r="A14" s="24" t="s">
        <v>17</v>
      </c>
      <c r="B14" s="25"/>
      <c r="C14" s="26"/>
      <c r="D14" s="27" t="s">
        <v>162</v>
      </c>
      <c r="E14" s="3">
        <f>F14</f>
        <v>36042730</v>
      </c>
      <c r="F14" s="4">
        <f>F15</f>
        <v>36042730</v>
      </c>
      <c r="G14" s="4">
        <f>G15</f>
        <v>14264586</v>
      </c>
      <c r="H14" s="4">
        <f>H15</f>
        <v>1179617</v>
      </c>
      <c r="I14" s="4">
        <f>I15</f>
        <v>0</v>
      </c>
      <c r="J14" s="3">
        <f>L14+O14</f>
        <v>12661221</v>
      </c>
      <c r="K14" s="4">
        <f>K15</f>
        <v>12594621</v>
      </c>
      <c r="L14" s="4">
        <f>L15</f>
        <v>66600</v>
      </c>
      <c r="M14" s="4">
        <f>M15</f>
        <v>0</v>
      </c>
      <c r="N14" s="4">
        <f>N15</f>
        <v>0</v>
      </c>
      <c r="O14" s="4">
        <f>O15</f>
        <v>12594621</v>
      </c>
      <c r="P14" s="3">
        <f aca="true" t="shared" si="0" ref="P14:P21">E14+J14</f>
        <v>48703951</v>
      </c>
    </row>
    <row r="15" spans="1:16" s="1" customFormat="1" ht="27.75" customHeight="1">
      <c r="A15" s="24" t="s">
        <v>18</v>
      </c>
      <c r="B15" s="25"/>
      <c r="C15" s="26"/>
      <c r="D15" s="27" t="s">
        <v>163</v>
      </c>
      <c r="E15" s="3">
        <f>F15</f>
        <v>36042730</v>
      </c>
      <c r="F15" s="4">
        <f>F16+F18+F19+F21+F22+F23+F25+F26+F27+F28+F29+F30+F31+F32+F33+F34+F35+F36+F38+F39+F40+F41+F24+F37</f>
        <v>36042730</v>
      </c>
      <c r="G15" s="4">
        <f>G16+G18+G19+G21+G22+G23+G25+G26+G27+G28+G29+G30+G31+G32+G33+G34+G35+G36+G38+G39+G40+G41+G24+G37</f>
        <v>14264586</v>
      </c>
      <c r="H15" s="4">
        <f>H16+H18+H19+H21+H22+H23+H25+H26+H27+H28+H29+H30+H31+H32+H33+H34+H35+H36+H38+H39+H40+H41+H24+H37</f>
        <v>1179617</v>
      </c>
      <c r="I15" s="4">
        <f>I16+I18+I19+I21+I22+I23+I25+I26+I27+I28+I29+I30+I31+I32+I33+I34+I35+I36+I38+I39+I40+I41</f>
        <v>0</v>
      </c>
      <c r="J15" s="3">
        <f>L15+O15</f>
        <v>12661221</v>
      </c>
      <c r="K15" s="4">
        <f>K16+K18+K19+K21+K22+K23+K25+K26+K27+K28+K29+K30+K31+K32+K33+K34+K35+K36+K38+K39+K40+K41+K24+K37</f>
        <v>12594621</v>
      </c>
      <c r="L15" s="4">
        <f>L16+L18+L19+L21+L22+L23+L25+L26+L27+L28+L29+L30+L31+L32+L33+L34+L35+L36+L38+L39+L40+L41+L24+L37</f>
        <v>66600</v>
      </c>
      <c r="M15" s="4">
        <f>M16+M18+M19+M21+M22+M23+M25+M26+M27+M28+M29+M30+M31+M32+M33+M34+M35+M36+M38+M39+M40+M41</f>
        <v>0</v>
      </c>
      <c r="N15" s="4">
        <f>N16+N18+N19+N21+N22+N23+N25+N26+N27+N28+N29+N30+N31+N32+N33+N34+N35+N36+N38+N39+N40+N41</f>
        <v>0</v>
      </c>
      <c r="O15" s="4">
        <f>O16+O18+O19+O21+O22+O23+O25+O26+O27+O28+O29+O30+O31+O32+O33+O34+O35+O36+O38+O39+O40+O41+O24+O37</f>
        <v>12594621</v>
      </c>
      <c r="P15" s="3">
        <f t="shared" si="0"/>
        <v>48703951</v>
      </c>
    </row>
    <row r="16" spans="1:16" s="1" customFormat="1" ht="39" customHeight="1">
      <c r="A16" s="28" t="s">
        <v>19</v>
      </c>
      <c r="B16" s="28" t="s">
        <v>21</v>
      </c>
      <c r="C16" s="29" t="s">
        <v>20</v>
      </c>
      <c r="D16" s="30" t="s">
        <v>217</v>
      </c>
      <c r="E16" s="5">
        <f>F16</f>
        <v>17965305</v>
      </c>
      <c r="F16" s="7">
        <f>17947161+18144</f>
        <v>17965305</v>
      </c>
      <c r="G16" s="7">
        <f>13417235</f>
        <v>13417235</v>
      </c>
      <c r="H16" s="6">
        <f>1136375</f>
        <v>1136375</v>
      </c>
      <c r="I16" s="6"/>
      <c r="J16" s="5">
        <f>L16+O16</f>
        <v>37000</v>
      </c>
      <c r="K16" s="7">
        <f>23000</f>
        <v>23000</v>
      </c>
      <c r="L16" s="6">
        <f>14000</f>
        <v>14000</v>
      </c>
      <c r="M16" s="6"/>
      <c r="N16" s="6"/>
      <c r="O16" s="7">
        <f>23000</f>
        <v>23000</v>
      </c>
      <c r="P16" s="5">
        <f t="shared" si="0"/>
        <v>18002305</v>
      </c>
    </row>
    <row r="17" spans="1:16" s="1" customFormat="1" ht="57.75" customHeight="1">
      <c r="A17" s="28"/>
      <c r="B17" s="28"/>
      <c r="C17" s="29"/>
      <c r="D17" s="31" t="s">
        <v>216</v>
      </c>
      <c r="E17" s="18">
        <f>F17</f>
        <v>717798</v>
      </c>
      <c r="F17" s="37">
        <v>717798</v>
      </c>
      <c r="G17" s="37"/>
      <c r="H17" s="19">
        <v>717798</v>
      </c>
      <c r="I17" s="6"/>
      <c r="J17" s="5">
        <f>L17+O17</f>
        <v>0</v>
      </c>
      <c r="K17" s="7"/>
      <c r="L17" s="6"/>
      <c r="M17" s="6"/>
      <c r="N17" s="6"/>
      <c r="O17" s="7"/>
      <c r="P17" s="18">
        <f t="shared" si="0"/>
        <v>717798</v>
      </c>
    </row>
    <row r="18" spans="1:16" s="1" customFormat="1" ht="20.25" customHeight="1">
      <c r="A18" s="28" t="s">
        <v>22</v>
      </c>
      <c r="B18" s="28" t="s">
        <v>24</v>
      </c>
      <c r="C18" s="29" t="s">
        <v>23</v>
      </c>
      <c r="D18" s="30" t="s">
        <v>25</v>
      </c>
      <c r="E18" s="5">
        <f aca="true" t="shared" si="1" ref="E18:E39">F18</f>
        <v>605760</v>
      </c>
      <c r="F18" s="6">
        <f>84960+520800</f>
        <v>605760</v>
      </c>
      <c r="G18" s="6"/>
      <c r="H18" s="6"/>
      <c r="I18" s="6"/>
      <c r="J18" s="5">
        <f aca="true" t="shared" si="2" ref="J18:J44">L18+O18</f>
        <v>0</v>
      </c>
      <c r="K18" s="6"/>
      <c r="L18" s="6"/>
      <c r="M18" s="6"/>
      <c r="N18" s="6"/>
      <c r="O18" s="6"/>
      <c r="P18" s="5">
        <f t="shared" si="0"/>
        <v>605760</v>
      </c>
    </row>
    <row r="19" spans="1:16" s="1" customFormat="1" ht="18.75" customHeight="1">
      <c r="A19" s="28" t="s">
        <v>26</v>
      </c>
      <c r="B19" s="28" t="s">
        <v>28</v>
      </c>
      <c r="C19" s="29" t="s">
        <v>27</v>
      </c>
      <c r="D19" s="30" t="s">
        <v>154</v>
      </c>
      <c r="E19" s="5">
        <f t="shared" si="1"/>
        <v>3556128</v>
      </c>
      <c r="F19" s="7">
        <f>3556128</f>
        <v>3556128</v>
      </c>
      <c r="G19" s="6"/>
      <c r="H19" s="6"/>
      <c r="I19" s="6"/>
      <c r="J19" s="5">
        <f t="shared" si="2"/>
        <v>0</v>
      </c>
      <c r="K19" s="7"/>
      <c r="L19" s="7"/>
      <c r="M19" s="7"/>
      <c r="N19" s="7"/>
      <c r="O19" s="7"/>
      <c r="P19" s="5">
        <f t="shared" si="0"/>
        <v>3556128</v>
      </c>
    </row>
    <row r="20" spans="1:16" s="1" customFormat="1" ht="40.5" customHeight="1">
      <c r="A20" s="28"/>
      <c r="B20" s="28"/>
      <c r="C20" s="29"/>
      <c r="D20" s="31" t="s">
        <v>155</v>
      </c>
      <c r="E20" s="18">
        <f t="shared" si="1"/>
        <v>600000</v>
      </c>
      <c r="F20" s="37">
        <f>600000</f>
        <v>600000</v>
      </c>
      <c r="G20" s="19"/>
      <c r="H20" s="19"/>
      <c r="I20" s="19"/>
      <c r="J20" s="18">
        <f t="shared" si="2"/>
        <v>0</v>
      </c>
      <c r="K20" s="37"/>
      <c r="L20" s="37"/>
      <c r="M20" s="37"/>
      <c r="N20" s="37"/>
      <c r="O20" s="37"/>
      <c r="P20" s="18">
        <f t="shared" si="0"/>
        <v>600000</v>
      </c>
    </row>
    <row r="21" spans="1:16" s="1" customFormat="1" ht="30.75" customHeight="1">
      <c r="A21" s="28" t="s">
        <v>29</v>
      </c>
      <c r="B21" s="28" t="s">
        <v>31</v>
      </c>
      <c r="C21" s="29" t="s">
        <v>30</v>
      </c>
      <c r="D21" s="30" t="s">
        <v>174</v>
      </c>
      <c r="E21" s="5">
        <f t="shared" si="1"/>
        <v>1249943</v>
      </c>
      <c r="F21" s="38">
        <f>1249943</f>
        <v>1249943</v>
      </c>
      <c r="G21" s="6"/>
      <c r="H21" s="6"/>
      <c r="I21" s="6"/>
      <c r="J21" s="5">
        <f t="shared" si="2"/>
        <v>0</v>
      </c>
      <c r="K21" s="7"/>
      <c r="L21" s="6"/>
      <c r="M21" s="6"/>
      <c r="N21" s="6"/>
      <c r="O21" s="7"/>
      <c r="P21" s="5">
        <f t="shared" si="0"/>
        <v>1249943</v>
      </c>
    </row>
    <row r="22" spans="1:16" s="1" customFormat="1" ht="24" customHeight="1">
      <c r="A22" s="28" t="s">
        <v>32</v>
      </c>
      <c r="B22" s="28">
        <v>3121</v>
      </c>
      <c r="C22" s="29" t="s">
        <v>33</v>
      </c>
      <c r="D22" s="30" t="s">
        <v>132</v>
      </c>
      <c r="E22" s="5">
        <f t="shared" si="1"/>
        <v>658971</v>
      </c>
      <c r="F22" s="6">
        <f>658971</f>
        <v>658971</v>
      </c>
      <c r="G22" s="6">
        <f>502418</f>
        <v>502418</v>
      </c>
      <c r="H22" s="6">
        <f>27127</f>
        <v>27127</v>
      </c>
      <c r="I22" s="6"/>
      <c r="J22" s="5">
        <f t="shared" si="2"/>
        <v>0</v>
      </c>
      <c r="K22" s="6"/>
      <c r="L22" s="6"/>
      <c r="M22" s="6"/>
      <c r="N22" s="6"/>
      <c r="O22" s="6"/>
      <c r="P22" s="5">
        <f aca="true" t="shared" si="3" ref="P22:P44">E22+J22</f>
        <v>658971</v>
      </c>
    </row>
    <row r="23" spans="1:16" s="1" customFormat="1" ht="31.5" customHeight="1">
      <c r="A23" s="28" t="s">
        <v>38</v>
      </c>
      <c r="B23" s="28" t="s">
        <v>40</v>
      </c>
      <c r="C23" s="29" t="s">
        <v>39</v>
      </c>
      <c r="D23" s="30" t="s">
        <v>41</v>
      </c>
      <c r="E23" s="5">
        <f t="shared" si="1"/>
        <v>566405</v>
      </c>
      <c r="F23" s="7">
        <f>566405</f>
        <v>566405</v>
      </c>
      <c r="G23" s="6">
        <f>344933</f>
        <v>344933</v>
      </c>
      <c r="H23" s="6">
        <f>16115</f>
        <v>16115</v>
      </c>
      <c r="I23" s="6"/>
      <c r="J23" s="5">
        <f t="shared" si="2"/>
        <v>0</v>
      </c>
      <c r="K23" s="6"/>
      <c r="L23" s="6"/>
      <c r="M23" s="6"/>
      <c r="N23" s="6"/>
      <c r="O23" s="6"/>
      <c r="P23" s="5">
        <f t="shared" si="3"/>
        <v>566405</v>
      </c>
    </row>
    <row r="24" spans="1:16" s="1" customFormat="1" ht="24" customHeight="1">
      <c r="A24" s="28" t="s">
        <v>208</v>
      </c>
      <c r="B24" s="28" t="s">
        <v>209</v>
      </c>
      <c r="C24" s="29" t="s">
        <v>210</v>
      </c>
      <c r="D24" s="30" t="s">
        <v>211</v>
      </c>
      <c r="E24" s="5">
        <f>F24</f>
        <v>107524</v>
      </c>
      <c r="F24" s="7">
        <f>106469+23400-22345</f>
        <v>107524</v>
      </c>
      <c r="G24" s="6"/>
      <c r="H24" s="6"/>
      <c r="I24" s="6"/>
      <c r="J24" s="5">
        <f>L24+O24</f>
        <v>0</v>
      </c>
      <c r="K24" s="6"/>
      <c r="L24" s="6"/>
      <c r="M24" s="6"/>
      <c r="N24" s="6"/>
      <c r="O24" s="6"/>
      <c r="P24" s="5">
        <f>E24+J24</f>
        <v>107524</v>
      </c>
    </row>
    <row r="25" spans="1:16" s="1" customFormat="1" ht="24" customHeight="1">
      <c r="A25" s="28" t="s">
        <v>42</v>
      </c>
      <c r="B25" s="28" t="s">
        <v>44</v>
      </c>
      <c r="C25" s="29" t="s">
        <v>43</v>
      </c>
      <c r="D25" s="30" t="s">
        <v>45</v>
      </c>
      <c r="E25" s="5">
        <f t="shared" si="1"/>
        <v>1174287</v>
      </c>
      <c r="F25" s="7">
        <f>774287+400000</f>
        <v>1174287</v>
      </c>
      <c r="G25" s="6"/>
      <c r="H25" s="6"/>
      <c r="I25" s="6"/>
      <c r="J25" s="5">
        <f t="shared" si="2"/>
        <v>0</v>
      </c>
      <c r="K25" s="6">
        <f>3097993-3097993</f>
        <v>0</v>
      </c>
      <c r="L25" s="6"/>
      <c r="M25" s="6"/>
      <c r="N25" s="6"/>
      <c r="O25" s="6">
        <f>3097993-3097993</f>
        <v>0</v>
      </c>
      <c r="P25" s="5">
        <f t="shared" si="3"/>
        <v>1174287</v>
      </c>
    </row>
    <row r="26" spans="1:16" s="1" customFormat="1" ht="21" customHeight="1">
      <c r="A26" s="28" t="s">
        <v>46</v>
      </c>
      <c r="B26" s="28" t="s">
        <v>47</v>
      </c>
      <c r="C26" s="29" t="s">
        <v>43</v>
      </c>
      <c r="D26" s="30" t="s">
        <v>48</v>
      </c>
      <c r="E26" s="5">
        <f t="shared" si="1"/>
        <v>8582643</v>
      </c>
      <c r="F26" s="7">
        <f>7299918+49900+49900+48195+44730+100000+990000</f>
        <v>8582643</v>
      </c>
      <c r="G26" s="6"/>
      <c r="H26" s="6"/>
      <c r="I26" s="6"/>
      <c r="J26" s="5">
        <f t="shared" si="2"/>
        <v>0</v>
      </c>
      <c r="K26" s="7"/>
      <c r="L26" s="6"/>
      <c r="M26" s="6"/>
      <c r="N26" s="6"/>
      <c r="O26" s="7"/>
      <c r="P26" s="5">
        <f t="shared" si="3"/>
        <v>8582643</v>
      </c>
    </row>
    <row r="27" spans="1:16" s="1" customFormat="1" ht="22.5" customHeight="1">
      <c r="A27" s="39" t="s">
        <v>201</v>
      </c>
      <c r="B27" s="39" t="s">
        <v>202</v>
      </c>
      <c r="C27" s="40" t="s">
        <v>182</v>
      </c>
      <c r="D27" s="45" t="s">
        <v>203</v>
      </c>
      <c r="E27" s="5">
        <f>F27</f>
        <v>0</v>
      </c>
      <c r="F27" s="46"/>
      <c r="G27" s="6"/>
      <c r="H27" s="6"/>
      <c r="I27" s="6"/>
      <c r="J27" s="5">
        <f>L27+O27</f>
        <v>49674</v>
      </c>
      <c r="K27" s="6">
        <f>49674</f>
        <v>49674</v>
      </c>
      <c r="L27" s="6"/>
      <c r="M27" s="6"/>
      <c r="N27" s="6"/>
      <c r="O27" s="6">
        <f>49674</f>
        <v>49674</v>
      </c>
      <c r="P27" s="5">
        <f>E27+J27</f>
        <v>49674</v>
      </c>
    </row>
    <row r="28" spans="1:16" s="1" customFormat="1" ht="19.5" customHeight="1">
      <c r="A28" s="32" t="s">
        <v>198</v>
      </c>
      <c r="B28" s="32" t="s">
        <v>200</v>
      </c>
      <c r="C28" s="33" t="s">
        <v>182</v>
      </c>
      <c r="D28" s="30" t="s">
        <v>199</v>
      </c>
      <c r="E28" s="5">
        <f t="shared" si="1"/>
        <v>0</v>
      </c>
      <c r="F28" s="7"/>
      <c r="G28" s="6"/>
      <c r="H28" s="6"/>
      <c r="I28" s="6"/>
      <c r="J28" s="5">
        <f t="shared" si="2"/>
        <v>241548</v>
      </c>
      <c r="K28" s="7">
        <f>96548+145000</f>
        <v>241548</v>
      </c>
      <c r="L28" s="6"/>
      <c r="M28" s="6"/>
      <c r="N28" s="6"/>
      <c r="O28" s="7">
        <f>96548+145000</f>
        <v>241548</v>
      </c>
      <c r="P28" s="5">
        <f t="shared" si="3"/>
        <v>241548</v>
      </c>
    </row>
    <row r="29" spans="1:16" s="1" customFormat="1" ht="36" customHeight="1">
      <c r="A29" s="32" t="s">
        <v>151</v>
      </c>
      <c r="B29" s="32" t="s">
        <v>152</v>
      </c>
      <c r="C29" s="33" t="s">
        <v>49</v>
      </c>
      <c r="D29" s="30" t="s">
        <v>172</v>
      </c>
      <c r="E29" s="5">
        <f>F29</f>
        <v>0</v>
      </c>
      <c r="F29" s="6"/>
      <c r="G29" s="6"/>
      <c r="H29" s="6"/>
      <c r="I29" s="6"/>
      <c r="J29" s="5">
        <f>L29+O29</f>
        <v>6128668</v>
      </c>
      <c r="K29" s="6">
        <f>3686300+2442368</f>
        <v>6128668</v>
      </c>
      <c r="L29" s="6"/>
      <c r="M29" s="6"/>
      <c r="N29" s="6"/>
      <c r="O29" s="6">
        <f>3686300+2442368</f>
        <v>6128668</v>
      </c>
      <c r="P29" s="5">
        <f t="shared" si="3"/>
        <v>6128668</v>
      </c>
    </row>
    <row r="30" spans="1:16" s="1" customFormat="1" ht="36" customHeight="1">
      <c r="A30" s="39" t="s">
        <v>181</v>
      </c>
      <c r="B30" s="39" t="s">
        <v>179</v>
      </c>
      <c r="C30" s="40" t="s">
        <v>49</v>
      </c>
      <c r="D30" s="45" t="s">
        <v>180</v>
      </c>
      <c r="E30" s="5">
        <f>F30</f>
        <v>0</v>
      </c>
      <c r="F30" s="6"/>
      <c r="G30" s="6"/>
      <c r="H30" s="6"/>
      <c r="I30" s="6"/>
      <c r="J30" s="5">
        <f>L30+O30</f>
        <v>126000</v>
      </c>
      <c r="K30" s="6">
        <f>72000+54000</f>
        <v>126000</v>
      </c>
      <c r="L30" s="6"/>
      <c r="M30" s="6"/>
      <c r="N30" s="6"/>
      <c r="O30" s="6">
        <f>72000+54000</f>
        <v>126000</v>
      </c>
      <c r="P30" s="5">
        <f t="shared" si="3"/>
        <v>126000</v>
      </c>
    </row>
    <row r="31" spans="1:16" s="1" customFormat="1" ht="30.75" customHeight="1">
      <c r="A31" s="39" t="s">
        <v>183</v>
      </c>
      <c r="B31" s="39" t="s">
        <v>184</v>
      </c>
      <c r="C31" s="40" t="s">
        <v>182</v>
      </c>
      <c r="D31" s="45" t="s">
        <v>185</v>
      </c>
      <c r="E31" s="5">
        <f>F31</f>
        <v>0</v>
      </c>
      <c r="F31" s="46"/>
      <c r="G31" s="6"/>
      <c r="H31" s="6"/>
      <c r="I31" s="6"/>
      <c r="J31" s="5">
        <f>L31+O31</f>
        <v>36651</v>
      </c>
      <c r="K31" s="6">
        <f>36651</f>
        <v>36651</v>
      </c>
      <c r="L31" s="6"/>
      <c r="M31" s="6"/>
      <c r="N31" s="6"/>
      <c r="O31" s="6">
        <f>36651</f>
        <v>36651</v>
      </c>
      <c r="P31" s="5">
        <f t="shared" si="3"/>
        <v>36651</v>
      </c>
    </row>
    <row r="32" spans="1:16" s="1" customFormat="1" ht="33.75" customHeight="1">
      <c r="A32" s="28" t="s">
        <v>50</v>
      </c>
      <c r="B32" s="28" t="s">
        <v>52</v>
      </c>
      <c r="C32" s="29" t="s">
        <v>51</v>
      </c>
      <c r="D32" s="30" t="s">
        <v>53</v>
      </c>
      <c r="E32" s="5">
        <f t="shared" si="1"/>
        <v>792200</v>
      </c>
      <c r="F32" s="7">
        <f>1982000-99800-93800-5000+49000+49800-100000-990000</f>
        <v>792200</v>
      </c>
      <c r="G32" s="6"/>
      <c r="H32" s="6"/>
      <c r="I32" s="6"/>
      <c r="J32" s="5">
        <f t="shared" si="2"/>
        <v>5537130</v>
      </c>
      <c r="K32" s="7">
        <f>5342130+195000</f>
        <v>5537130</v>
      </c>
      <c r="L32" s="6"/>
      <c r="M32" s="6"/>
      <c r="N32" s="6"/>
      <c r="O32" s="7">
        <f>5342130+195000</f>
        <v>5537130</v>
      </c>
      <c r="P32" s="5">
        <f t="shared" si="3"/>
        <v>6329330</v>
      </c>
    </row>
    <row r="33" spans="1:16" s="1" customFormat="1" ht="33.75" customHeight="1">
      <c r="A33" s="28" t="s">
        <v>195</v>
      </c>
      <c r="B33" s="28" t="s">
        <v>196</v>
      </c>
      <c r="C33" s="29" t="s">
        <v>49</v>
      </c>
      <c r="D33" s="30" t="s">
        <v>197</v>
      </c>
      <c r="E33" s="5">
        <f t="shared" si="1"/>
        <v>0</v>
      </c>
      <c r="F33" s="7"/>
      <c r="G33" s="6"/>
      <c r="H33" s="6"/>
      <c r="I33" s="6"/>
      <c r="J33" s="5">
        <f t="shared" si="2"/>
        <v>1950</v>
      </c>
      <c r="K33" s="7">
        <f>1950</f>
        <v>1950</v>
      </c>
      <c r="L33" s="6"/>
      <c r="M33" s="6"/>
      <c r="N33" s="6"/>
      <c r="O33" s="7">
        <f>1950</f>
        <v>1950</v>
      </c>
      <c r="P33" s="5">
        <f t="shared" si="3"/>
        <v>1950</v>
      </c>
    </row>
    <row r="34" spans="1:16" s="1" customFormat="1" ht="21" customHeight="1">
      <c r="A34" s="28" t="s">
        <v>54</v>
      </c>
      <c r="B34" s="28" t="s">
        <v>55</v>
      </c>
      <c r="C34" s="29" t="s">
        <v>49</v>
      </c>
      <c r="D34" s="30" t="s">
        <v>56</v>
      </c>
      <c r="E34" s="5">
        <f t="shared" si="1"/>
        <v>73253</v>
      </c>
      <c r="F34" s="6">
        <f>73253</f>
        <v>73253</v>
      </c>
      <c r="G34" s="6"/>
      <c r="H34" s="6"/>
      <c r="I34" s="6"/>
      <c r="J34" s="5">
        <f t="shared" si="2"/>
        <v>0</v>
      </c>
      <c r="K34" s="6"/>
      <c r="L34" s="6"/>
      <c r="M34" s="6"/>
      <c r="N34" s="6"/>
      <c r="O34" s="6"/>
      <c r="P34" s="5">
        <f t="shared" si="3"/>
        <v>73253</v>
      </c>
    </row>
    <row r="35" spans="1:16" s="1" customFormat="1" ht="57.75" customHeight="1">
      <c r="A35" s="28" t="s">
        <v>148</v>
      </c>
      <c r="B35" s="28" t="s">
        <v>149</v>
      </c>
      <c r="C35" s="29" t="s">
        <v>49</v>
      </c>
      <c r="D35" s="30" t="s">
        <v>150</v>
      </c>
      <c r="E35" s="5">
        <f t="shared" si="1"/>
        <v>0</v>
      </c>
      <c r="F35" s="6"/>
      <c r="G35" s="6"/>
      <c r="H35" s="6"/>
      <c r="I35" s="6"/>
      <c r="J35" s="5">
        <f t="shared" si="2"/>
        <v>19000</v>
      </c>
      <c r="K35" s="6"/>
      <c r="L35" s="6">
        <f>19000</f>
        <v>19000</v>
      </c>
      <c r="M35" s="6"/>
      <c r="N35" s="6"/>
      <c r="O35" s="6"/>
      <c r="P35" s="5">
        <f t="shared" si="3"/>
        <v>19000</v>
      </c>
    </row>
    <row r="36" spans="1:16" s="1" customFormat="1" ht="29.25" customHeight="1">
      <c r="A36" s="28" t="s">
        <v>186</v>
      </c>
      <c r="B36" s="28">
        <v>8230</v>
      </c>
      <c r="C36" s="29" t="s">
        <v>187</v>
      </c>
      <c r="D36" s="30" t="s">
        <v>188</v>
      </c>
      <c r="E36" s="5">
        <f t="shared" si="1"/>
        <v>96000</v>
      </c>
      <c r="F36" s="6">
        <f>96000</f>
        <v>96000</v>
      </c>
      <c r="G36" s="6"/>
      <c r="H36" s="6"/>
      <c r="I36" s="6"/>
      <c r="J36" s="5">
        <f t="shared" si="2"/>
        <v>0</v>
      </c>
      <c r="K36" s="6"/>
      <c r="L36" s="6"/>
      <c r="M36" s="6"/>
      <c r="N36" s="6"/>
      <c r="O36" s="6"/>
      <c r="P36" s="5">
        <f t="shared" si="3"/>
        <v>96000</v>
      </c>
    </row>
    <row r="37" spans="1:16" s="1" customFormat="1" ht="29.25" customHeight="1">
      <c r="A37" s="28" t="s">
        <v>214</v>
      </c>
      <c r="B37" s="28">
        <v>8240</v>
      </c>
      <c r="C37" s="29" t="s">
        <v>187</v>
      </c>
      <c r="D37" s="30" t="s">
        <v>215</v>
      </c>
      <c r="E37" s="5">
        <f t="shared" si="1"/>
        <v>85000</v>
      </c>
      <c r="F37" s="6">
        <v>85000</v>
      </c>
      <c r="G37" s="6"/>
      <c r="H37" s="6"/>
      <c r="I37" s="6"/>
      <c r="J37" s="5">
        <f t="shared" si="2"/>
        <v>0</v>
      </c>
      <c r="K37" s="6"/>
      <c r="L37" s="6"/>
      <c r="M37" s="6"/>
      <c r="N37" s="6"/>
      <c r="O37" s="6"/>
      <c r="P37" s="5">
        <f t="shared" si="3"/>
        <v>85000</v>
      </c>
    </row>
    <row r="38" spans="1:16" s="1" customFormat="1" ht="19.5" customHeight="1">
      <c r="A38" s="28" t="s">
        <v>126</v>
      </c>
      <c r="B38" s="28">
        <v>8311</v>
      </c>
      <c r="C38" s="29" t="s">
        <v>125</v>
      </c>
      <c r="D38" s="30" t="s">
        <v>57</v>
      </c>
      <c r="E38" s="5">
        <f t="shared" si="1"/>
        <v>0</v>
      </c>
      <c r="F38" s="7"/>
      <c r="G38" s="6"/>
      <c r="H38" s="6"/>
      <c r="I38" s="6"/>
      <c r="J38" s="5">
        <f t="shared" si="2"/>
        <v>33600</v>
      </c>
      <c r="K38" s="6"/>
      <c r="L38" s="7">
        <f>33600</f>
        <v>33600</v>
      </c>
      <c r="M38" s="7"/>
      <c r="N38" s="7"/>
      <c r="O38" s="7"/>
      <c r="P38" s="5">
        <f t="shared" si="3"/>
        <v>33600</v>
      </c>
    </row>
    <row r="39" spans="1:16" s="1" customFormat="1" ht="19.5" customHeight="1">
      <c r="A39" s="32" t="s">
        <v>205</v>
      </c>
      <c r="B39" s="32" t="s">
        <v>176</v>
      </c>
      <c r="C39" s="33" t="s">
        <v>24</v>
      </c>
      <c r="D39" s="30" t="s">
        <v>177</v>
      </c>
      <c r="E39" s="5">
        <f t="shared" si="1"/>
        <v>0</v>
      </c>
      <c r="F39" s="7"/>
      <c r="G39" s="6"/>
      <c r="H39" s="6"/>
      <c r="I39" s="6"/>
      <c r="J39" s="5">
        <f t="shared" si="2"/>
        <v>350000</v>
      </c>
      <c r="K39" s="6">
        <f>350000</f>
        <v>350000</v>
      </c>
      <c r="L39" s="7"/>
      <c r="M39" s="7"/>
      <c r="N39" s="7"/>
      <c r="O39" s="7">
        <f>350000</f>
        <v>350000</v>
      </c>
      <c r="P39" s="5">
        <f t="shared" si="3"/>
        <v>350000</v>
      </c>
    </row>
    <row r="40" spans="1:16" s="1" customFormat="1" ht="72" customHeight="1">
      <c r="A40" s="28" t="s">
        <v>153</v>
      </c>
      <c r="B40" s="28">
        <v>9770</v>
      </c>
      <c r="C40" s="29" t="s">
        <v>24</v>
      </c>
      <c r="D40" s="30" t="s">
        <v>173</v>
      </c>
      <c r="E40" s="5">
        <f aca="true" t="shared" si="4" ref="E40:E47">F40</f>
        <v>229311</v>
      </c>
      <c r="F40" s="7">
        <f>229311</f>
        <v>229311</v>
      </c>
      <c r="G40" s="6"/>
      <c r="H40" s="6"/>
      <c r="I40" s="6"/>
      <c r="J40" s="5">
        <f t="shared" si="2"/>
        <v>0</v>
      </c>
      <c r="K40" s="6"/>
      <c r="L40" s="7"/>
      <c r="M40" s="7"/>
      <c r="N40" s="7"/>
      <c r="O40" s="7"/>
      <c r="P40" s="5">
        <f t="shared" si="3"/>
        <v>229311</v>
      </c>
    </row>
    <row r="41" spans="1:16" s="1" customFormat="1" ht="41.25" customHeight="1">
      <c r="A41" s="28" t="s">
        <v>189</v>
      </c>
      <c r="B41" s="28">
        <v>9800</v>
      </c>
      <c r="C41" s="29" t="s">
        <v>24</v>
      </c>
      <c r="D41" s="30" t="s">
        <v>190</v>
      </c>
      <c r="E41" s="5">
        <f t="shared" si="4"/>
        <v>300000</v>
      </c>
      <c r="F41" s="7">
        <f>F42+F43+F44</f>
        <v>300000</v>
      </c>
      <c r="G41" s="7">
        <f aca="true" t="shared" si="5" ref="G41:O41">G42+G43+G44</f>
        <v>0</v>
      </c>
      <c r="H41" s="7">
        <f t="shared" si="5"/>
        <v>0</v>
      </c>
      <c r="I41" s="7">
        <f t="shared" si="5"/>
        <v>0</v>
      </c>
      <c r="J41" s="5">
        <f t="shared" si="2"/>
        <v>100000</v>
      </c>
      <c r="K41" s="7">
        <f t="shared" si="5"/>
        <v>100000</v>
      </c>
      <c r="L41" s="7">
        <f t="shared" si="5"/>
        <v>0</v>
      </c>
      <c r="M41" s="7">
        <f t="shared" si="5"/>
        <v>0</v>
      </c>
      <c r="N41" s="7">
        <f t="shared" si="5"/>
        <v>0</v>
      </c>
      <c r="O41" s="7">
        <f t="shared" si="5"/>
        <v>100000</v>
      </c>
      <c r="P41" s="5">
        <f t="shared" si="3"/>
        <v>400000</v>
      </c>
    </row>
    <row r="42" spans="1:16" s="36" customFormat="1" ht="45" customHeight="1">
      <c r="A42" s="41"/>
      <c r="B42" s="41"/>
      <c r="C42" s="42"/>
      <c r="D42" s="43" t="s">
        <v>191</v>
      </c>
      <c r="E42" s="18">
        <f t="shared" si="4"/>
        <v>100000</v>
      </c>
      <c r="F42" s="37">
        <f>100000</f>
        <v>100000</v>
      </c>
      <c r="G42" s="19"/>
      <c r="H42" s="19"/>
      <c r="I42" s="19"/>
      <c r="J42" s="18">
        <f t="shared" si="2"/>
        <v>0</v>
      </c>
      <c r="K42" s="19"/>
      <c r="L42" s="37"/>
      <c r="M42" s="37"/>
      <c r="N42" s="37"/>
      <c r="O42" s="37"/>
      <c r="P42" s="18">
        <f t="shared" si="3"/>
        <v>100000</v>
      </c>
    </row>
    <row r="43" spans="1:16" s="36" customFormat="1" ht="62.25" customHeight="1">
      <c r="A43" s="41"/>
      <c r="B43" s="41"/>
      <c r="C43" s="42"/>
      <c r="D43" s="43" t="s">
        <v>204</v>
      </c>
      <c r="E43" s="18">
        <f t="shared" si="4"/>
        <v>0</v>
      </c>
      <c r="F43" s="37"/>
      <c r="G43" s="19"/>
      <c r="H43" s="19"/>
      <c r="I43" s="19"/>
      <c r="J43" s="18">
        <f t="shared" si="2"/>
        <v>100000</v>
      </c>
      <c r="K43" s="19">
        <f>100000</f>
        <v>100000</v>
      </c>
      <c r="L43" s="37"/>
      <c r="M43" s="37"/>
      <c r="N43" s="37"/>
      <c r="O43" s="37">
        <f>100000</f>
        <v>100000</v>
      </c>
      <c r="P43" s="18">
        <f t="shared" si="3"/>
        <v>100000</v>
      </c>
    </row>
    <row r="44" spans="1:16" s="36" customFormat="1" ht="35.25" customHeight="1">
      <c r="A44" s="41"/>
      <c r="B44" s="41"/>
      <c r="C44" s="42"/>
      <c r="D44" s="44" t="s">
        <v>206</v>
      </c>
      <c r="E44" s="18">
        <f t="shared" si="4"/>
        <v>200000</v>
      </c>
      <c r="F44" s="37">
        <f>200000</f>
        <v>200000</v>
      </c>
      <c r="G44" s="19"/>
      <c r="H44" s="19"/>
      <c r="I44" s="19"/>
      <c r="J44" s="18">
        <f t="shared" si="2"/>
        <v>0</v>
      </c>
      <c r="K44" s="19"/>
      <c r="L44" s="37"/>
      <c r="M44" s="37"/>
      <c r="N44" s="37"/>
      <c r="O44" s="37"/>
      <c r="P44" s="18">
        <f t="shared" si="3"/>
        <v>200000</v>
      </c>
    </row>
    <row r="45" spans="1:16" s="1" customFormat="1" ht="21.75" customHeight="1">
      <c r="A45" s="24" t="s">
        <v>58</v>
      </c>
      <c r="B45" s="25"/>
      <c r="C45" s="26"/>
      <c r="D45" s="27" t="s">
        <v>164</v>
      </c>
      <c r="E45" s="3">
        <f t="shared" si="4"/>
        <v>129431383</v>
      </c>
      <c r="F45" s="4">
        <f>F46</f>
        <v>129431383</v>
      </c>
      <c r="G45" s="4">
        <f aca="true" t="shared" si="6" ref="G45:O45">G46</f>
        <v>87138431</v>
      </c>
      <c r="H45" s="4">
        <f t="shared" si="6"/>
        <v>15324937</v>
      </c>
      <c r="I45" s="4">
        <f t="shared" si="6"/>
        <v>0</v>
      </c>
      <c r="J45" s="3">
        <f aca="true" t="shared" si="7" ref="J45:J63">L45+O45</f>
        <v>4042600</v>
      </c>
      <c r="K45" s="4">
        <f t="shared" si="6"/>
        <v>198300</v>
      </c>
      <c r="L45" s="4">
        <f t="shared" si="6"/>
        <v>3813300</v>
      </c>
      <c r="M45" s="4">
        <f t="shared" si="6"/>
        <v>1092300</v>
      </c>
      <c r="N45" s="4">
        <f t="shared" si="6"/>
        <v>0</v>
      </c>
      <c r="O45" s="4">
        <f t="shared" si="6"/>
        <v>229300</v>
      </c>
      <c r="P45" s="3">
        <f aca="true" t="shared" si="8" ref="P45:P56">E45+J45</f>
        <v>133473983</v>
      </c>
    </row>
    <row r="46" spans="1:16" s="1" customFormat="1" ht="21.75" customHeight="1">
      <c r="A46" s="24" t="s">
        <v>59</v>
      </c>
      <c r="B46" s="25"/>
      <c r="C46" s="26"/>
      <c r="D46" s="27" t="s">
        <v>165</v>
      </c>
      <c r="E46" s="3">
        <f t="shared" si="4"/>
        <v>129431383</v>
      </c>
      <c r="F46" s="4">
        <f>F47+F48+F50+F53+F54+F55+F56+F57+F58+F59+F60</f>
        <v>129431383</v>
      </c>
      <c r="G46" s="4">
        <f aca="true" t="shared" si="9" ref="G46:O46">G47+G48+G50+G53+G54+G55+G56+G57+G58+G59+G60</f>
        <v>87138431</v>
      </c>
      <c r="H46" s="4">
        <f t="shared" si="9"/>
        <v>15324937</v>
      </c>
      <c r="I46" s="4">
        <f t="shared" si="9"/>
        <v>0</v>
      </c>
      <c r="J46" s="3">
        <f t="shared" si="7"/>
        <v>4042600</v>
      </c>
      <c r="K46" s="4">
        <f t="shared" si="9"/>
        <v>198300</v>
      </c>
      <c r="L46" s="4">
        <f t="shared" si="9"/>
        <v>3813300</v>
      </c>
      <c r="M46" s="4">
        <f t="shared" si="9"/>
        <v>1092300</v>
      </c>
      <c r="N46" s="4">
        <f t="shared" si="9"/>
        <v>0</v>
      </c>
      <c r="O46" s="4">
        <f t="shared" si="9"/>
        <v>229300</v>
      </c>
      <c r="P46" s="3">
        <f t="shared" si="8"/>
        <v>133473983</v>
      </c>
    </row>
    <row r="47" spans="1:16" s="1" customFormat="1" ht="33" customHeight="1">
      <c r="A47" s="28" t="s">
        <v>60</v>
      </c>
      <c r="B47" s="28" t="s">
        <v>61</v>
      </c>
      <c r="C47" s="29" t="s">
        <v>20</v>
      </c>
      <c r="D47" s="30" t="s">
        <v>131</v>
      </c>
      <c r="E47" s="5">
        <f t="shared" si="4"/>
        <v>940177</v>
      </c>
      <c r="F47" s="6">
        <f>940177</f>
        <v>940177</v>
      </c>
      <c r="G47" s="6">
        <f>770637</f>
        <v>770637</v>
      </c>
      <c r="H47" s="6"/>
      <c r="I47" s="6"/>
      <c r="J47" s="5">
        <f t="shared" si="7"/>
        <v>0</v>
      </c>
      <c r="K47" s="6"/>
      <c r="L47" s="6"/>
      <c r="M47" s="6"/>
      <c r="N47" s="6"/>
      <c r="O47" s="6"/>
      <c r="P47" s="5">
        <f t="shared" si="8"/>
        <v>940177</v>
      </c>
    </row>
    <row r="48" spans="1:16" s="1" customFormat="1" ht="19.5" customHeight="1">
      <c r="A48" s="28" t="s">
        <v>62</v>
      </c>
      <c r="B48" s="28" t="s">
        <v>64</v>
      </c>
      <c r="C48" s="29" t="s">
        <v>63</v>
      </c>
      <c r="D48" s="30" t="s">
        <v>220</v>
      </c>
      <c r="E48" s="5">
        <f aca="true" t="shared" si="10" ref="E48:E60">F48</f>
        <v>32359921</v>
      </c>
      <c r="F48" s="7">
        <f>32359921</f>
        <v>32359921</v>
      </c>
      <c r="G48" s="7">
        <f>19396374</f>
        <v>19396374</v>
      </c>
      <c r="H48" s="6">
        <f>6218049</f>
        <v>6218049</v>
      </c>
      <c r="I48" s="6"/>
      <c r="J48" s="5">
        <f t="shared" si="7"/>
        <v>2387800</v>
      </c>
      <c r="K48" s="6"/>
      <c r="L48" s="6">
        <f>2387800</f>
        <v>2387800</v>
      </c>
      <c r="M48" s="6">
        <f>50000</f>
        <v>50000</v>
      </c>
      <c r="N48" s="6"/>
      <c r="O48" s="6"/>
      <c r="P48" s="5">
        <f t="shared" si="8"/>
        <v>34747721</v>
      </c>
    </row>
    <row r="49" spans="1:16" s="1" customFormat="1" ht="57.75" customHeight="1">
      <c r="A49" s="28"/>
      <c r="B49" s="28"/>
      <c r="C49" s="29"/>
      <c r="D49" s="31" t="s">
        <v>216</v>
      </c>
      <c r="E49" s="18">
        <f t="shared" si="10"/>
        <v>336983</v>
      </c>
      <c r="F49" s="37">
        <v>336983</v>
      </c>
      <c r="G49" s="37"/>
      <c r="H49" s="19">
        <v>336983</v>
      </c>
      <c r="I49" s="6"/>
      <c r="J49" s="18">
        <f t="shared" si="7"/>
        <v>0</v>
      </c>
      <c r="K49" s="6"/>
      <c r="L49" s="6"/>
      <c r="M49" s="6"/>
      <c r="N49" s="6"/>
      <c r="O49" s="6"/>
      <c r="P49" s="18">
        <f t="shared" si="8"/>
        <v>336983</v>
      </c>
    </row>
    <row r="50" spans="1:16" s="1" customFormat="1" ht="24.75" customHeight="1">
      <c r="A50" s="32" t="s">
        <v>135</v>
      </c>
      <c r="B50" s="32" t="s">
        <v>136</v>
      </c>
      <c r="C50" s="33" t="s">
        <v>65</v>
      </c>
      <c r="D50" s="30" t="s">
        <v>156</v>
      </c>
      <c r="E50" s="5">
        <f t="shared" si="10"/>
        <v>25163956</v>
      </c>
      <c r="F50" s="38">
        <f>25163956</f>
        <v>25163956</v>
      </c>
      <c r="G50" s="38">
        <f>9824237</f>
        <v>9824237</v>
      </c>
      <c r="H50" s="38">
        <f>8467586</f>
        <v>8467586</v>
      </c>
      <c r="I50" s="6"/>
      <c r="J50" s="5">
        <f t="shared" si="7"/>
        <v>159500</v>
      </c>
      <c r="K50" s="7">
        <f>53000+53000</f>
        <v>106000</v>
      </c>
      <c r="L50" s="6">
        <f>53500</f>
        <v>53500</v>
      </c>
      <c r="M50" s="6"/>
      <c r="N50" s="6"/>
      <c r="O50" s="7">
        <f>53000+53000</f>
        <v>106000</v>
      </c>
      <c r="P50" s="5">
        <f t="shared" si="8"/>
        <v>25323456</v>
      </c>
    </row>
    <row r="51" spans="1:16" s="36" customFormat="1" ht="39" customHeight="1">
      <c r="A51" s="34"/>
      <c r="B51" s="34"/>
      <c r="C51" s="35"/>
      <c r="D51" s="31" t="s">
        <v>155</v>
      </c>
      <c r="E51" s="18">
        <f t="shared" si="10"/>
        <v>657000</v>
      </c>
      <c r="F51" s="37">
        <f>657000</f>
        <v>657000</v>
      </c>
      <c r="G51" s="37"/>
      <c r="H51" s="37">
        <f>657000</f>
        <v>657000</v>
      </c>
      <c r="I51" s="19"/>
      <c r="J51" s="18">
        <f t="shared" si="7"/>
        <v>0</v>
      </c>
      <c r="K51" s="37"/>
      <c r="L51" s="19"/>
      <c r="M51" s="19"/>
      <c r="N51" s="19"/>
      <c r="O51" s="37"/>
      <c r="P51" s="18">
        <f t="shared" si="8"/>
        <v>657000</v>
      </c>
    </row>
    <row r="52" spans="1:16" s="36" customFormat="1" ht="67.5" customHeight="1">
      <c r="A52" s="34"/>
      <c r="B52" s="34"/>
      <c r="C52" s="35"/>
      <c r="D52" s="31" t="s">
        <v>216</v>
      </c>
      <c r="E52" s="18">
        <f t="shared" si="10"/>
        <v>1158041</v>
      </c>
      <c r="F52" s="37">
        <v>1158041</v>
      </c>
      <c r="G52" s="37"/>
      <c r="H52" s="37">
        <v>1158041</v>
      </c>
      <c r="I52" s="19"/>
      <c r="J52" s="18">
        <f t="shared" si="7"/>
        <v>0</v>
      </c>
      <c r="K52" s="37"/>
      <c r="L52" s="19"/>
      <c r="M52" s="19"/>
      <c r="N52" s="19"/>
      <c r="O52" s="37"/>
      <c r="P52" s="18">
        <f t="shared" si="8"/>
        <v>1158041</v>
      </c>
    </row>
    <row r="53" spans="1:16" s="1" customFormat="1" ht="20.25" customHeight="1">
      <c r="A53" s="32" t="s">
        <v>138</v>
      </c>
      <c r="B53" s="32" t="s">
        <v>139</v>
      </c>
      <c r="C53" s="33" t="s">
        <v>65</v>
      </c>
      <c r="D53" s="30" t="s">
        <v>137</v>
      </c>
      <c r="E53" s="5">
        <f t="shared" si="10"/>
        <v>59904500</v>
      </c>
      <c r="F53" s="7">
        <f>59904500</f>
        <v>59904500</v>
      </c>
      <c r="G53" s="7">
        <f>49102049</f>
        <v>49102049</v>
      </c>
      <c r="H53" s="6"/>
      <c r="I53" s="6"/>
      <c r="J53" s="5">
        <f t="shared" si="7"/>
        <v>0</v>
      </c>
      <c r="K53" s="6"/>
      <c r="L53" s="6"/>
      <c r="M53" s="6"/>
      <c r="N53" s="6"/>
      <c r="O53" s="6"/>
      <c r="P53" s="5">
        <f t="shared" si="8"/>
        <v>59904500</v>
      </c>
    </row>
    <row r="54" spans="1:16" s="1" customFormat="1" ht="20.25" customHeight="1">
      <c r="A54" s="32" t="s">
        <v>192</v>
      </c>
      <c r="B54" s="32" t="s">
        <v>193</v>
      </c>
      <c r="C54" s="33" t="s">
        <v>65</v>
      </c>
      <c r="D54" s="30" t="s">
        <v>194</v>
      </c>
      <c r="E54" s="5">
        <f t="shared" si="10"/>
        <v>0</v>
      </c>
      <c r="F54" s="7"/>
      <c r="G54" s="7"/>
      <c r="H54" s="6"/>
      <c r="I54" s="6"/>
      <c r="J54" s="5">
        <f t="shared" si="7"/>
        <v>42800</v>
      </c>
      <c r="K54" s="6">
        <f>42800</f>
        <v>42800</v>
      </c>
      <c r="L54" s="6"/>
      <c r="M54" s="6"/>
      <c r="N54" s="6"/>
      <c r="O54" s="6">
        <f>42800</f>
        <v>42800</v>
      </c>
      <c r="P54" s="5">
        <f t="shared" si="8"/>
        <v>42800</v>
      </c>
    </row>
    <row r="55" spans="1:16" s="1" customFormat="1" ht="28.5" customHeight="1">
      <c r="A55" s="28" t="s">
        <v>140</v>
      </c>
      <c r="B55" s="28" t="s">
        <v>83</v>
      </c>
      <c r="C55" s="29" t="s">
        <v>67</v>
      </c>
      <c r="D55" s="30" t="s">
        <v>69</v>
      </c>
      <c r="E55" s="5">
        <f>F55</f>
        <v>2727195</v>
      </c>
      <c r="F55" s="6">
        <f>2727195</f>
        <v>2727195</v>
      </c>
      <c r="G55" s="6">
        <f>2017467</f>
        <v>2017467</v>
      </c>
      <c r="H55" s="6">
        <f>202479</f>
        <v>202479</v>
      </c>
      <c r="I55" s="6"/>
      <c r="J55" s="5">
        <f t="shared" si="7"/>
        <v>293000</v>
      </c>
      <c r="K55" s="6"/>
      <c r="L55" s="6">
        <f>293000</f>
        <v>293000</v>
      </c>
      <c r="M55" s="6">
        <f>218000</f>
        <v>218000</v>
      </c>
      <c r="N55" s="6"/>
      <c r="O55" s="6"/>
      <c r="P55" s="5">
        <f>E55+J55</f>
        <v>3020195</v>
      </c>
    </row>
    <row r="56" spans="1:16" s="13" customFormat="1" ht="21.75" customHeight="1">
      <c r="A56" s="32" t="s">
        <v>141</v>
      </c>
      <c r="B56" s="32" t="s">
        <v>142</v>
      </c>
      <c r="C56" s="33" t="s">
        <v>70</v>
      </c>
      <c r="D56" s="30" t="s">
        <v>127</v>
      </c>
      <c r="E56" s="5">
        <f t="shared" si="10"/>
        <v>5125839</v>
      </c>
      <c r="F56" s="7">
        <f>5116405+9434</f>
        <v>5125839</v>
      </c>
      <c r="G56" s="7">
        <f>3699949</f>
        <v>3699949</v>
      </c>
      <c r="H56" s="7">
        <f>278123</f>
        <v>278123</v>
      </c>
      <c r="I56" s="7"/>
      <c r="J56" s="5">
        <f t="shared" si="7"/>
        <v>1110000</v>
      </c>
      <c r="K56" s="7"/>
      <c r="L56" s="7">
        <f>1079000</f>
        <v>1079000</v>
      </c>
      <c r="M56" s="7">
        <f>824300</f>
        <v>824300</v>
      </c>
      <c r="N56" s="7"/>
      <c r="O56" s="7">
        <f>31000</f>
        <v>31000</v>
      </c>
      <c r="P56" s="5">
        <f t="shared" si="8"/>
        <v>6235839</v>
      </c>
    </row>
    <row r="57" spans="1:16" s="1" customFormat="1" ht="21" customHeight="1">
      <c r="A57" s="28" t="s">
        <v>143</v>
      </c>
      <c r="B57" s="28" t="s">
        <v>144</v>
      </c>
      <c r="C57" s="29" t="s">
        <v>70</v>
      </c>
      <c r="D57" s="30" t="s">
        <v>71</v>
      </c>
      <c r="E57" s="5">
        <f t="shared" si="10"/>
        <v>10860</v>
      </c>
      <c r="F57" s="6">
        <f>10860</f>
        <v>10860</v>
      </c>
      <c r="G57" s="6"/>
      <c r="H57" s="6"/>
      <c r="I57" s="6"/>
      <c r="J57" s="5">
        <f t="shared" si="7"/>
        <v>0</v>
      </c>
      <c r="K57" s="6"/>
      <c r="L57" s="6"/>
      <c r="M57" s="6"/>
      <c r="N57" s="6"/>
      <c r="O57" s="6"/>
      <c r="P57" s="5">
        <f aca="true" t="shared" si="11" ref="P57:P89">E57+J57</f>
        <v>10860</v>
      </c>
    </row>
    <row r="58" spans="1:16" s="1" customFormat="1" ht="19.5" customHeight="1">
      <c r="A58" s="28" t="s">
        <v>145</v>
      </c>
      <c r="B58" s="28" t="s">
        <v>146</v>
      </c>
      <c r="C58" s="29" t="s">
        <v>70</v>
      </c>
      <c r="D58" s="30" t="s">
        <v>147</v>
      </c>
      <c r="E58" s="5">
        <f t="shared" si="10"/>
        <v>1204255</v>
      </c>
      <c r="F58" s="6">
        <f>1204255</f>
        <v>1204255</v>
      </c>
      <c r="G58" s="6">
        <f>975778</f>
        <v>975778</v>
      </c>
      <c r="H58" s="6"/>
      <c r="I58" s="6"/>
      <c r="J58" s="5">
        <f t="shared" si="7"/>
        <v>0</v>
      </c>
      <c r="K58" s="6"/>
      <c r="L58" s="6"/>
      <c r="M58" s="6"/>
      <c r="N58" s="6"/>
      <c r="O58" s="6"/>
      <c r="P58" s="5">
        <f>E58+J58</f>
        <v>1204255</v>
      </c>
    </row>
    <row r="59" spans="1:16" s="1" customFormat="1" ht="18" customHeight="1">
      <c r="A59" s="28" t="s">
        <v>72</v>
      </c>
      <c r="B59" s="28" t="s">
        <v>73</v>
      </c>
      <c r="C59" s="29" t="s">
        <v>39</v>
      </c>
      <c r="D59" s="30" t="s">
        <v>74</v>
      </c>
      <c r="E59" s="5">
        <f t="shared" si="10"/>
        <v>1994680</v>
      </c>
      <c r="F59" s="7">
        <f>1994680</f>
        <v>1994680</v>
      </c>
      <c r="G59" s="6">
        <f>1351940</f>
        <v>1351940</v>
      </c>
      <c r="H59" s="6">
        <f>158700</f>
        <v>158700</v>
      </c>
      <c r="I59" s="6"/>
      <c r="J59" s="5">
        <f t="shared" si="7"/>
        <v>0</v>
      </c>
      <c r="K59" s="6"/>
      <c r="L59" s="6"/>
      <c r="M59" s="6"/>
      <c r="N59" s="6"/>
      <c r="O59" s="6"/>
      <c r="P59" s="5">
        <f t="shared" si="11"/>
        <v>1994680</v>
      </c>
    </row>
    <row r="60" spans="1:16" s="1" customFormat="1" ht="33" customHeight="1">
      <c r="A60" s="28" t="s">
        <v>178</v>
      </c>
      <c r="B60" s="28" t="s">
        <v>179</v>
      </c>
      <c r="C60" s="29" t="s">
        <v>49</v>
      </c>
      <c r="D60" s="30" t="s">
        <v>180</v>
      </c>
      <c r="E60" s="5">
        <f t="shared" si="10"/>
        <v>0</v>
      </c>
      <c r="F60" s="7"/>
      <c r="G60" s="6"/>
      <c r="H60" s="6"/>
      <c r="I60" s="6"/>
      <c r="J60" s="5">
        <f t="shared" si="7"/>
        <v>49500</v>
      </c>
      <c r="K60" s="6">
        <f>49500</f>
        <v>49500</v>
      </c>
      <c r="L60" s="6"/>
      <c r="M60" s="6"/>
      <c r="N60" s="6"/>
      <c r="O60" s="6">
        <f>49500</f>
        <v>49500</v>
      </c>
      <c r="P60" s="5">
        <f t="shared" si="11"/>
        <v>49500</v>
      </c>
    </row>
    <row r="61" spans="1:16" s="1" customFormat="1" ht="25.5" customHeight="1">
      <c r="A61" s="24" t="s">
        <v>75</v>
      </c>
      <c r="B61" s="25"/>
      <c r="C61" s="26"/>
      <c r="D61" s="27" t="s">
        <v>166</v>
      </c>
      <c r="E61" s="3">
        <f>F61</f>
        <v>12846316</v>
      </c>
      <c r="F61" s="4">
        <f>F62</f>
        <v>12846316</v>
      </c>
      <c r="G61" s="4">
        <f aca="true" t="shared" si="12" ref="G61:O61">G62</f>
        <v>8231944</v>
      </c>
      <c r="H61" s="4">
        <f t="shared" si="12"/>
        <v>226743</v>
      </c>
      <c r="I61" s="4">
        <f t="shared" si="12"/>
        <v>0</v>
      </c>
      <c r="J61" s="3">
        <f t="shared" si="7"/>
        <v>12000</v>
      </c>
      <c r="K61" s="4">
        <f t="shared" si="12"/>
        <v>0</v>
      </c>
      <c r="L61" s="4">
        <f t="shared" si="12"/>
        <v>12000</v>
      </c>
      <c r="M61" s="4">
        <f t="shared" si="12"/>
        <v>3000</v>
      </c>
      <c r="N61" s="4">
        <f t="shared" si="12"/>
        <v>0</v>
      </c>
      <c r="O61" s="4">
        <f t="shared" si="12"/>
        <v>0</v>
      </c>
      <c r="P61" s="3">
        <f t="shared" si="11"/>
        <v>12858316</v>
      </c>
    </row>
    <row r="62" spans="1:16" s="1" customFormat="1" ht="27" customHeight="1">
      <c r="A62" s="24" t="s">
        <v>76</v>
      </c>
      <c r="B62" s="25"/>
      <c r="C62" s="26"/>
      <c r="D62" s="27" t="s">
        <v>167</v>
      </c>
      <c r="E62" s="3">
        <f>F62</f>
        <v>12846316</v>
      </c>
      <c r="F62" s="4">
        <f>F63+F64+F65+F66+F67+F68+F69+F70</f>
        <v>12846316</v>
      </c>
      <c r="G62" s="4">
        <f aca="true" t="shared" si="13" ref="G62:O62">G63+G64+G65+G66+G67+G68+G69+G70</f>
        <v>8231944</v>
      </c>
      <c r="H62" s="4">
        <f t="shared" si="13"/>
        <v>226743</v>
      </c>
      <c r="I62" s="4">
        <f t="shared" si="13"/>
        <v>0</v>
      </c>
      <c r="J62" s="3">
        <f t="shared" si="7"/>
        <v>12000</v>
      </c>
      <c r="K62" s="4">
        <f t="shared" si="13"/>
        <v>0</v>
      </c>
      <c r="L62" s="4">
        <f t="shared" si="13"/>
        <v>12000</v>
      </c>
      <c r="M62" s="4">
        <f t="shared" si="13"/>
        <v>3000</v>
      </c>
      <c r="N62" s="4">
        <f t="shared" si="13"/>
        <v>0</v>
      </c>
      <c r="O62" s="4">
        <f t="shared" si="13"/>
        <v>0</v>
      </c>
      <c r="P62" s="3">
        <f t="shared" si="11"/>
        <v>12858316</v>
      </c>
    </row>
    <row r="63" spans="1:16" s="1" customFormat="1" ht="32.25" customHeight="1">
      <c r="A63" s="28" t="s">
        <v>77</v>
      </c>
      <c r="B63" s="28" t="s">
        <v>61</v>
      </c>
      <c r="C63" s="29" t="s">
        <v>20</v>
      </c>
      <c r="D63" s="30" t="s">
        <v>131</v>
      </c>
      <c r="E63" s="5">
        <f>F63</f>
        <v>6410307</v>
      </c>
      <c r="F63" s="6">
        <f>6410307</f>
        <v>6410307</v>
      </c>
      <c r="G63" s="6">
        <f>5022093</f>
        <v>5022093</v>
      </c>
      <c r="H63" s="6">
        <f>161726</f>
        <v>161726</v>
      </c>
      <c r="I63" s="6"/>
      <c r="J63" s="5">
        <f t="shared" si="7"/>
        <v>0</v>
      </c>
      <c r="K63" s="6"/>
      <c r="L63" s="6"/>
      <c r="M63" s="6"/>
      <c r="N63" s="6"/>
      <c r="O63" s="6"/>
      <c r="P63" s="5">
        <f t="shared" si="11"/>
        <v>6410307</v>
      </c>
    </row>
    <row r="64" spans="1:16" s="1" customFormat="1" ht="21.75" customHeight="1">
      <c r="A64" s="28" t="s">
        <v>78</v>
      </c>
      <c r="B64" s="28" t="s">
        <v>80</v>
      </c>
      <c r="C64" s="29" t="s">
        <v>79</v>
      </c>
      <c r="D64" s="30" t="s">
        <v>81</v>
      </c>
      <c r="E64" s="5">
        <f aca="true" t="shared" si="14" ref="E64:E70">F64</f>
        <v>1195</v>
      </c>
      <c r="F64" s="6">
        <f>1195</f>
        <v>1195</v>
      </c>
      <c r="G64" s="6"/>
      <c r="H64" s="6"/>
      <c r="I64" s="6"/>
      <c r="J64" s="5">
        <f aca="true" t="shared" si="15" ref="J64:J70">L64+O64</f>
        <v>0</v>
      </c>
      <c r="K64" s="6"/>
      <c r="L64" s="6"/>
      <c r="M64" s="6"/>
      <c r="N64" s="6"/>
      <c r="O64" s="6"/>
      <c r="P64" s="5">
        <f t="shared" si="11"/>
        <v>1195</v>
      </c>
    </row>
    <row r="65" spans="1:16" s="1" customFormat="1" ht="21" customHeight="1">
      <c r="A65" s="28" t="s">
        <v>82</v>
      </c>
      <c r="B65" s="28" t="s">
        <v>84</v>
      </c>
      <c r="C65" s="29" t="s">
        <v>83</v>
      </c>
      <c r="D65" s="30" t="s">
        <v>85</v>
      </c>
      <c r="E65" s="5">
        <f t="shared" si="14"/>
        <v>51460</v>
      </c>
      <c r="F65" s="6">
        <f>51460</f>
        <v>51460</v>
      </c>
      <c r="G65" s="6"/>
      <c r="H65" s="6"/>
      <c r="I65" s="6"/>
      <c r="J65" s="5">
        <f t="shared" si="15"/>
        <v>0</v>
      </c>
      <c r="K65" s="6"/>
      <c r="L65" s="6"/>
      <c r="M65" s="6"/>
      <c r="N65" s="6"/>
      <c r="O65" s="6"/>
      <c r="P65" s="5">
        <f t="shared" si="11"/>
        <v>51460</v>
      </c>
    </row>
    <row r="66" spans="1:16" s="1" customFormat="1" ht="25.5" customHeight="1">
      <c r="A66" s="28" t="s">
        <v>86</v>
      </c>
      <c r="B66" s="28" t="s">
        <v>87</v>
      </c>
      <c r="C66" s="29" t="s">
        <v>83</v>
      </c>
      <c r="D66" s="30" t="s">
        <v>88</v>
      </c>
      <c r="E66" s="5">
        <f t="shared" si="14"/>
        <v>916426</v>
      </c>
      <c r="F66" s="6">
        <f>916426</f>
        <v>916426</v>
      </c>
      <c r="G66" s="6"/>
      <c r="H66" s="6"/>
      <c r="I66" s="6"/>
      <c r="J66" s="5">
        <f t="shared" si="15"/>
        <v>0</v>
      </c>
      <c r="K66" s="6"/>
      <c r="L66" s="6"/>
      <c r="M66" s="6"/>
      <c r="N66" s="6"/>
      <c r="O66" s="6"/>
      <c r="P66" s="5">
        <f t="shared" si="11"/>
        <v>916426</v>
      </c>
    </row>
    <row r="67" spans="1:16" s="1" customFormat="1" ht="25.5" customHeight="1">
      <c r="A67" s="28" t="s">
        <v>89</v>
      </c>
      <c r="B67" s="28" t="s">
        <v>90</v>
      </c>
      <c r="C67" s="29" t="s">
        <v>83</v>
      </c>
      <c r="D67" s="30" t="s">
        <v>91</v>
      </c>
      <c r="E67" s="5">
        <f t="shared" si="14"/>
        <v>238950</v>
      </c>
      <c r="F67" s="6">
        <f>238950</f>
        <v>238950</v>
      </c>
      <c r="G67" s="6"/>
      <c r="H67" s="6"/>
      <c r="I67" s="6"/>
      <c r="J67" s="5">
        <f t="shared" si="15"/>
        <v>0</v>
      </c>
      <c r="K67" s="6"/>
      <c r="L67" s="6"/>
      <c r="M67" s="6"/>
      <c r="N67" s="6"/>
      <c r="O67" s="6"/>
      <c r="P67" s="5">
        <f t="shared" si="11"/>
        <v>238950</v>
      </c>
    </row>
    <row r="68" spans="1:16" s="1" customFormat="1" ht="34.5" customHeight="1">
      <c r="A68" s="28" t="s">
        <v>92</v>
      </c>
      <c r="B68" s="28" t="s">
        <v>93</v>
      </c>
      <c r="C68" s="29" t="s">
        <v>66</v>
      </c>
      <c r="D68" s="30" t="s">
        <v>161</v>
      </c>
      <c r="E68" s="5">
        <f t="shared" si="14"/>
        <v>4113844</v>
      </c>
      <c r="F68" s="7">
        <f>4113844</f>
        <v>4113844</v>
      </c>
      <c r="G68" s="6">
        <f>3209851</f>
        <v>3209851</v>
      </c>
      <c r="H68" s="6">
        <f>65017</f>
        <v>65017</v>
      </c>
      <c r="I68" s="6"/>
      <c r="J68" s="5">
        <f t="shared" si="15"/>
        <v>12000</v>
      </c>
      <c r="K68" s="6"/>
      <c r="L68" s="6">
        <f>12000</f>
        <v>12000</v>
      </c>
      <c r="M68" s="6">
        <f>3000</f>
        <v>3000</v>
      </c>
      <c r="N68" s="6"/>
      <c r="O68" s="6"/>
      <c r="P68" s="5">
        <f t="shared" si="11"/>
        <v>4125844</v>
      </c>
    </row>
    <row r="69" spans="1:16" s="1" customFormat="1" ht="45" customHeight="1">
      <c r="A69" s="28" t="s">
        <v>94</v>
      </c>
      <c r="B69" s="28" t="s">
        <v>95</v>
      </c>
      <c r="C69" s="29" t="s">
        <v>64</v>
      </c>
      <c r="D69" s="30" t="s">
        <v>96</v>
      </c>
      <c r="E69" s="5">
        <f t="shared" si="14"/>
        <v>223230</v>
      </c>
      <c r="F69" s="6">
        <f>223230</f>
        <v>223230</v>
      </c>
      <c r="G69" s="6"/>
      <c r="H69" s="6"/>
      <c r="I69" s="6"/>
      <c r="J69" s="5">
        <f t="shared" si="15"/>
        <v>0</v>
      </c>
      <c r="K69" s="6"/>
      <c r="L69" s="6"/>
      <c r="M69" s="6"/>
      <c r="N69" s="6"/>
      <c r="O69" s="6"/>
      <c r="P69" s="5">
        <f t="shared" si="11"/>
        <v>223230</v>
      </c>
    </row>
    <row r="70" spans="1:16" s="1" customFormat="1" ht="21" customHeight="1">
      <c r="A70" s="28" t="s">
        <v>97</v>
      </c>
      <c r="B70" s="28" t="s">
        <v>98</v>
      </c>
      <c r="C70" s="29" t="s">
        <v>68</v>
      </c>
      <c r="D70" s="30" t="s">
        <v>99</v>
      </c>
      <c r="E70" s="5">
        <f t="shared" si="14"/>
        <v>890904</v>
      </c>
      <c r="F70" s="7">
        <f>527814+150144+39650+73296+100000</f>
        <v>890904</v>
      </c>
      <c r="G70" s="6"/>
      <c r="H70" s="6"/>
      <c r="I70" s="6"/>
      <c r="J70" s="5">
        <f t="shared" si="15"/>
        <v>0</v>
      </c>
      <c r="K70" s="6"/>
      <c r="L70" s="6"/>
      <c r="M70" s="6"/>
      <c r="N70" s="6"/>
      <c r="O70" s="6"/>
      <c r="P70" s="5">
        <f t="shared" si="11"/>
        <v>890904</v>
      </c>
    </row>
    <row r="71" spans="1:16" s="1" customFormat="1" ht="33" customHeight="1">
      <c r="A71" s="24" t="s">
        <v>100</v>
      </c>
      <c r="B71" s="25"/>
      <c r="C71" s="26"/>
      <c r="D71" s="27" t="s">
        <v>168</v>
      </c>
      <c r="E71" s="3">
        <f>F71</f>
        <v>10884777</v>
      </c>
      <c r="F71" s="4">
        <f>F72</f>
        <v>10884777</v>
      </c>
      <c r="G71" s="4">
        <f aca="true" t="shared" si="16" ref="G71:O71">G72</f>
        <v>7380260</v>
      </c>
      <c r="H71" s="4">
        <f t="shared" si="16"/>
        <v>838562</v>
      </c>
      <c r="I71" s="4">
        <f t="shared" si="16"/>
        <v>0</v>
      </c>
      <c r="J71" s="3">
        <f>L71+O71</f>
        <v>149435</v>
      </c>
      <c r="K71" s="4">
        <f t="shared" si="16"/>
        <v>17585</v>
      </c>
      <c r="L71" s="4">
        <f t="shared" si="16"/>
        <v>131850</v>
      </c>
      <c r="M71" s="4">
        <f t="shared" si="16"/>
        <v>88467</v>
      </c>
      <c r="N71" s="4">
        <f t="shared" si="16"/>
        <v>0</v>
      </c>
      <c r="O71" s="4">
        <f t="shared" si="16"/>
        <v>17585</v>
      </c>
      <c r="P71" s="3">
        <f t="shared" si="11"/>
        <v>11034212</v>
      </c>
    </row>
    <row r="72" spans="1:16" s="1" customFormat="1" ht="29.25" customHeight="1">
      <c r="A72" s="24" t="s">
        <v>101</v>
      </c>
      <c r="B72" s="25"/>
      <c r="C72" s="26"/>
      <c r="D72" s="27" t="s">
        <v>169</v>
      </c>
      <c r="E72" s="3">
        <f>F72</f>
        <v>10884777</v>
      </c>
      <c r="F72" s="4">
        <f>F73+F74+F76+F77+F78+F80+F81+F82+F83</f>
        <v>10884777</v>
      </c>
      <c r="G72" s="4">
        <f aca="true" t="shared" si="17" ref="G72:O72">G73+G74+G76+G77+G78+G80+G81+G82+G83</f>
        <v>7380260</v>
      </c>
      <c r="H72" s="4">
        <f t="shared" si="17"/>
        <v>838562</v>
      </c>
      <c r="I72" s="4">
        <f t="shared" si="17"/>
        <v>0</v>
      </c>
      <c r="J72" s="3">
        <f>L72+O72</f>
        <v>149435</v>
      </c>
      <c r="K72" s="4">
        <f t="shared" si="17"/>
        <v>17585</v>
      </c>
      <c r="L72" s="4">
        <f t="shared" si="17"/>
        <v>131850</v>
      </c>
      <c r="M72" s="4">
        <f t="shared" si="17"/>
        <v>88467</v>
      </c>
      <c r="N72" s="4">
        <f t="shared" si="17"/>
        <v>0</v>
      </c>
      <c r="O72" s="4">
        <f t="shared" si="17"/>
        <v>17585</v>
      </c>
      <c r="P72" s="3">
        <f t="shared" si="11"/>
        <v>11034212</v>
      </c>
    </row>
    <row r="73" spans="1:16" s="1" customFormat="1" ht="30.75" customHeight="1">
      <c r="A73" s="28" t="s">
        <v>102</v>
      </c>
      <c r="B73" s="28" t="s">
        <v>61</v>
      </c>
      <c r="C73" s="29" t="s">
        <v>20</v>
      </c>
      <c r="D73" s="30" t="s">
        <v>131</v>
      </c>
      <c r="E73" s="5">
        <f>F73</f>
        <v>840512</v>
      </c>
      <c r="F73" s="6">
        <f>840512</f>
        <v>840512</v>
      </c>
      <c r="G73" s="6">
        <f>684846</f>
        <v>684846</v>
      </c>
      <c r="H73" s="6"/>
      <c r="I73" s="6"/>
      <c r="J73" s="5">
        <f>L73+O73</f>
        <v>0</v>
      </c>
      <c r="K73" s="6"/>
      <c r="L73" s="6"/>
      <c r="M73" s="6"/>
      <c r="N73" s="6"/>
      <c r="O73" s="6"/>
      <c r="P73" s="5">
        <f t="shared" si="11"/>
        <v>840512</v>
      </c>
    </row>
    <row r="74" spans="1:16" s="1" customFormat="1" ht="19.5" customHeight="1">
      <c r="A74" s="28" t="s">
        <v>133</v>
      </c>
      <c r="B74" s="28" t="s">
        <v>134</v>
      </c>
      <c r="C74" s="29" t="s">
        <v>67</v>
      </c>
      <c r="D74" s="30" t="s">
        <v>218</v>
      </c>
      <c r="E74" s="5">
        <f aca="true" t="shared" si="18" ref="E74:E83">F74</f>
        <v>3460668</v>
      </c>
      <c r="F74" s="7">
        <f>3460668</f>
        <v>3460668</v>
      </c>
      <c r="G74" s="6">
        <f>2699515</f>
        <v>2699515</v>
      </c>
      <c r="H74" s="6">
        <f>124657</f>
        <v>124657</v>
      </c>
      <c r="I74" s="6"/>
      <c r="J74" s="5">
        <f aca="true" t="shared" si="19" ref="J74:J83">L74+O74</f>
        <v>131850</v>
      </c>
      <c r="K74" s="6"/>
      <c r="L74" s="6">
        <f>131850</f>
        <v>131850</v>
      </c>
      <c r="M74" s="6">
        <f>88467</f>
        <v>88467</v>
      </c>
      <c r="N74" s="6"/>
      <c r="O74" s="6"/>
      <c r="P74" s="5">
        <f t="shared" si="11"/>
        <v>3592518</v>
      </c>
    </row>
    <row r="75" spans="1:16" s="1" customFormat="1" ht="63" customHeight="1">
      <c r="A75" s="28"/>
      <c r="B75" s="28"/>
      <c r="C75" s="29"/>
      <c r="D75" s="31" t="s">
        <v>216</v>
      </c>
      <c r="E75" s="18">
        <f t="shared" si="18"/>
        <v>75765</v>
      </c>
      <c r="F75" s="37">
        <v>75765</v>
      </c>
      <c r="G75" s="19"/>
      <c r="H75" s="19">
        <v>75765</v>
      </c>
      <c r="I75" s="6"/>
      <c r="J75" s="5">
        <f t="shared" si="19"/>
        <v>0</v>
      </c>
      <c r="K75" s="6"/>
      <c r="L75" s="6"/>
      <c r="M75" s="6"/>
      <c r="N75" s="6"/>
      <c r="O75" s="6"/>
      <c r="P75" s="18">
        <f t="shared" si="11"/>
        <v>75765</v>
      </c>
    </row>
    <row r="76" spans="1:16" s="1" customFormat="1" ht="19.5" customHeight="1">
      <c r="A76" s="28" t="s">
        <v>158</v>
      </c>
      <c r="B76" s="28" t="s">
        <v>34</v>
      </c>
      <c r="C76" s="29" t="s">
        <v>33</v>
      </c>
      <c r="D76" s="30" t="s">
        <v>35</v>
      </c>
      <c r="E76" s="5">
        <f t="shared" si="18"/>
        <v>84960</v>
      </c>
      <c r="F76" s="7">
        <f>84960</f>
        <v>84960</v>
      </c>
      <c r="G76" s="6"/>
      <c r="H76" s="6"/>
      <c r="I76" s="6"/>
      <c r="J76" s="5">
        <f t="shared" si="19"/>
        <v>0</v>
      </c>
      <c r="K76" s="6"/>
      <c r="L76" s="6"/>
      <c r="M76" s="6"/>
      <c r="N76" s="6"/>
      <c r="O76" s="6"/>
      <c r="P76" s="5">
        <f t="shared" si="11"/>
        <v>84960</v>
      </c>
    </row>
    <row r="77" spans="1:16" s="1" customFormat="1" ht="38.25" customHeight="1">
      <c r="A77" s="28" t="s">
        <v>160</v>
      </c>
      <c r="B77" s="28" t="s">
        <v>36</v>
      </c>
      <c r="C77" s="29" t="s">
        <v>33</v>
      </c>
      <c r="D77" s="30" t="s">
        <v>37</v>
      </c>
      <c r="E77" s="5">
        <f t="shared" si="18"/>
        <v>345150</v>
      </c>
      <c r="F77" s="7">
        <f>345150</f>
        <v>345150</v>
      </c>
      <c r="G77" s="6"/>
      <c r="H77" s="6"/>
      <c r="I77" s="6"/>
      <c r="J77" s="5">
        <f t="shared" si="19"/>
        <v>0</v>
      </c>
      <c r="K77" s="6"/>
      <c r="L77" s="6"/>
      <c r="M77" s="6"/>
      <c r="N77" s="6"/>
      <c r="O77" s="6"/>
      <c r="P77" s="5">
        <f t="shared" si="11"/>
        <v>345150</v>
      </c>
    </row>
    <row r="78" spans="1:16" s="1" customFormat="1" ht="20.25" customHeight="1">
      <c r="A78" s="28" t="s">
        <v>103</v>
      </c>
      <c r="B78" s="28" t="s">
        <v>105</v>
      </c>
      <c r="C78" s="29" t="s">
        <v>104</v>
      </c>
      <c r="D78" s="30" t="s">
        <v>219</v>
      </c>
      <c r="E78" s="5">
        <f t="shared" si="18"/>
        <v>2599725</v>
      </c>
      <c r="F78" s="6">
        <f>2599725</f>
        <v>2599725</v>
      </c>
      <c r="G78" s="6">
        <f>1789538</f>
        <v>1789538</v>
      </c>
      <c r="H78" s="6">
        <f>275511</f>
        <v>275511</v>
      </c>
      <c r="I78" s="6"/>
      <c r="J78" s="5">
        <f t="shared" si="19"/>
        <v>0</v>
      </c>
      <c r="K78" s="6"/>
      <c r="L78" s="6"/>
      <c r="M78" s="6"/>
      <c r="N78" s="6"/>
      <c r="O78" s="6"/>
      <c r="P78" s="5">
        <f t="shared" si="11"/>
        <v>2599725</v>
      </c>
    </row>
    <row r="79" spans="1:16" s="1" customFormat="1" ht="58.5" customHeight="1">
      <c r="A79" s="28"/>
      <c r="B79" s="28"/>
      <c r="C79" s="29"/>
      <c r="D79" s="31" t="s">
        <v>216</v>
      </c>
      <c r="E79" s="18">
        <f t="shared" si="18"/>
        <v>124013</v>
      </c>
      <c r="F79" s="19">
        <v>124013</v>
      </c>
      <c r="G79" s="19"/>
      <c r="H79" s="19">
        <v>124013</v>
      </c>
      <c r="I79" s="6"/>
      <c r="J79" s="5">
        <f t="shared" si="19"/>
        <v>0</v>
      </c>
      <c r="K79" s="6"/>
      <c r="L79" s="6"/>
      <c r="M79" s="6"/>
      <c r="N79" s="6"/>
      <c r="O79" s="6"/>
      <c r="P79" s="18">
        <f t="shared" si="11"/>
        <v>124013</v>
      </c>
    </row>
    <row r="80" spans="1:16" s="1" customFormat="1" ht="18.75" customHeight="1">
      <c r="A80" s="28" t="s">
        <v>106</v>
      </c>
      <c r="B80" s="28" t="s">
        <v>107</v>
      </c>
      <c r="C80" s="29" t="s">
        <v>104</v>
      </c>
      <c r="D80" s="30" t="s">
        <v>108</v>
      </c>
      <c r="E80" s="5">
        <f t="shared" si="18"/>
        <v>273269</v>
      </c>
      <c r="F80" s="6">
        <f>272249+1020</f>
        <v>273269</v>
      </c>
      <c r="G80" s="6">
        <f>221709</f>
        <v>221709</v>
      </c>
      <c r="H80" s="6"/>
      <c r="I80" s="6"/>
      <c r="J80" s="5">
        <f t="shared" si="19"/>
        <v>0</v>
      </c>
      <c r="K80" s="6"/>
      <c r="L80" s="6"/>
      <c r="M80" s="6"/>
      <c r="N80" s="6"/>
      <c r="O80" s="6"/>
      <c r="P80" s="5">
        <f t="shared" si="11"/>
        <v>273269</v>
      </c>
    </row>
    <row r="81" spans="1:16" s="1" customFormat="1" ht="32.25" customHeight="1">
      <c r="A81" s="28" t="s">
        <v>109</v>
      </c>
      <c r="B81" s="28" t="s">
        <v>111</v>
      </c>
      <c r="C81" s="29" t="s">
        <v>110</v>
      </c>
      <c r="D81" s="30" t="s">
        <v>157</v>
      </c>
      <c r="E81" s="5">
        <f t="shared" si="18"/>
        <v>2594422</v>
      </c>
      <c r="F81" s="6">
        <f>2586992+8450-1020</f>
        <v>2594422</v>
      </c>
      <c r="G81" s="6">
        <f>1624143</f>
        <v>1624143</v>
      </c>
      <c r="H81" s="6">
        <f>438394</f>
        <v>438394</v>
      </c>
      <c r="I81" s="6"/>
      <c r="J81" s="5">
        <f t="shared" si="19"/>
        <v>17585</v>
      </c>
      <c r="K81" s="7">
        <f>17585</f>
        <v>17585</v>
      </c>
      <c r="L81" s="6"/>
      <c r="M81" s="6"/>
      <c r="N81" s="6"/>
      <c r="O81" s="7">
        <f>17585</f>
        <v>17585</v>
      </c>
      <c r="P81" s="5">
        <f t="shared" si="11"/>
        <v>2612007</v>
      </c>
    </row>
    <row r="82" spans="1:16" s="1" customFormat="1" ht="23.25" customHeight="1">
      <c r="A82" s="28" t="s">
        <v>112</v>
      </c>
      <c r="B82" s="28" t="s">
        <v>114</v>
      </c>
      <c r="C82" s="29" t="s">
        <v>113</v>
      </c>
      <c r="D82" s="30" t="s">
        <v>115</v>
      </c>
      <c r="E82" s="5">
        <f t="shared" si="18"/>
        <v>452431</v>
      </c>
      <c r="F82" s="6">
        <f>452431</f>
        <v>452431</v>
      </c>
      <c r="G82" s="6">
        <f>360509</f>
        <v>360509</v>
      </c>
      <c r="H82" s="6"/>
      <c r="I82" s="6"/>
      <c r="J82" s="5">
        <f t="shared" si="19"/>
        <v>0</v>
      </c>
      <c r="K82" s="6"/>
      <c r="L82" s="6"/>
      <c r="M82" s="6"/>
      <c r="N82" s="6"/>
      <c r="O82" s="6"/>
      <c r="P82" s="5">
        <f t="shared" si="11"/>
        <v>452431</v>
      </c>
    </row>
    <row r="83" spans="1:16" s="1" customFormat="1" ht="21" customHeight="1">
      <c r="A83" s="28" t="s">
        <v>116</v>
      </c>
      <c r="B83" s="28" t="s">
        <v>117</v>
      </c>
      <c r="C83" s="29" t="s">
        <v>113</v>
      </c>
      <c r="D83" s="30" t="s">
        <v>118</v>
      </c>
      <c r="E83" s="5">
        <f t="shared" si="18"/>
        <v>233640</v>
      </c>
      <c r="F83" s="6">
        <f>233640</f>
        <v>233640</v>
      </c>
      <c r="G83" s="6"/>
      <c r="H83" s="6"/>
      <c r="I83" s="6"/>
      <c r="J83" s="5">
        <f t="shared" si="19"/>
        <v>0</v>
      </c>
      <c r="K83" s="6"/>
      <c r="L83" s="6"/>
      <c r="M83" s="6"/>
      <c r="N83" s="6"/>
      <c r="O83" s="6"/>
      <c r="P83" s="5">
        <f t="shared" si="11"/>
        <v>233640</v>
      </c>
    </row>
    <row r="84" spans="1:16" s="1" customFormat="1" ht="25.5" customHeight="1">
      <c r="A84" s="24" t="s">
        <v>119</v>
      </c>
      <c r="B84" s="25"/>
      <c r="C84" s="26"/>
      <c r="D84" s="27" t="s">
        <v>170</v>
      </c>
      <c r="E84" s="3">
        <f>E85</f>
        <v>4503231</v>
      </c>
      <c r="F84" s="4">
        <f>F85</f>
        <v>2803231</v>
      </c>
      <c r="G84" s="4">
        <f aca="true" t="shared" si="20" ref="G84:O84">G85</f>
        <v>2185461</v>
      </c>
      <c r="H84" s="4">
        <f t="shared" si="20"/>
        <v>56234</v>
      </c>
      <c r="I84" s="4">
        <f t="shared" si="20"/>
        <v>0</v>
      </c>
      <c r="J84" s="3">
        <f aca="true" t="shared" si="21" ref="J84:J90">L84+O84</f>
        <v>79730</v>
      </c>
      <c r="K84" s="4">
        <f t="shared" si="20"/>
        <v>79730</v>
      </c>
      <c r="L84" s="4">
        <f t="shared" si="20"/>
        <v>0</v>
      </c>
      <c r="M84" s="4">
        <f t="shared" si="20"/>
        <v>0</v>
      </c>
      <c r="N84" s="4">
        <f t="shared" si="20"/>
        <v>0</v>
      </c>
      <c r="O84" s="4">
        <f t="shared" si="20"/>
        <v>79730</v>
      </c>
      <c r="P84" s="3">
        <f t="shared" si="11"/>
        <v>4582961</v>
      </c>
    </row>
    <row r="85" spans="1:16" s="1" customFormat="1" ht="26.25" customHeight="1">
      <c r="A85" s="24" t="s">
        <v>120</v>
      </c>
      <c r="B85" s="25"/>
      <c r="C85" s="26"/>
      <c r="D85" s="27" t="s">
        <v>171</v>
      </c>
      <c r="E85" s="3">
        <f>E86+E87+E88</f>
        <v>4503231</v>
      </c>
      <c r="F85" s="8">
        <f>F86+F87+F88</f>
        <v>2803231</v>
      </c>
      <c r="G85" s="8">
        <f aca="true" t="shared" si="22" ref="G85:O85">G86+G87+G88</f>
        <v>2185461</v>
      </c>
      <c r="H85" s="8">
        <f t="shared" si="22"/>
        <v>56234</v>
      </c>
      <c r="I85" s="8">
        <f t="shared" si="22"/>
        <v>0</v>
      </c>
      <c r="J85" s="3">
        <f t="shared" si="21"/>
        <v>79730</v>
      </c>
      <c r="K85" s="8">
        <f t="shared" si="22"/>
        <v>79730</v>
      </c>
      <c r="L85" s="8">
        <f t="shared" si="22"/>
        <v>0</v>
      </c>
      <c r="M85" s="8">
        <f t="shared" si="22"/>
        <v>0</v>
      </c>
      <c r="N85" s="8">
        <f t="shared" si="22"/>
        <v>0</v>
      </c>
      <c r="O85" s="8">
        <f t="shared" si="22"/>
        <v>79730</v>
      </c>
      <c r="P85" s="3">
        <f t="shared" si="11"/>
        <v>4582961</v>
      </c>
    </row>
    <row r="86" spans="1:16" s="1" customFormat="1" ht="33" customHeight="1">
      <c r="A86" s="28" t="s">
        <v>121</v>
      </c>
      <c r="B86" s="28" t="s">
        <v>61</v>
      </c>
      <c r="C86" s="29" t="s">
        <v>20</v>
      </c>
      <c r="D86" s="30" t="s">
        <v>131</v>
      </c>
      <c r="E86" s="5">
        <f>F86</f>
        <v>2803231</v>
      </c>
      <c r="F86" s="7">
        <f>2803231</f>
        <v>2803231</v>
      </c>
      <c r="G86" s="6">
        <f>2185461</f>
        <v>2185461</v>
      </c>
      <c r="H86" s="6">
        <f>56234</f>
        <v>56234</v>
      </c>
      <c r="I86" s="6"/>
      <c r="J86" s="5">
        <f t="shared" si="21"/>
        <v>0</v>
      </c>
      <c r="K86" s="6"/>
      <c r="L86" s="6"/>
      <c r="M86" s="6"/>
      <c r="N86" s="6"/>
      <c r="O86" s="6"/>
      <c r="P86" s="5">
        <f t="shared" si="11"/>
        <v>2803231</v>
      </c>
    </row>
    <row r="87" spans="1:16" s="1" customFormat="1" ht="20.25" customHeight="1">
      <c r="A87" s="32" t="s">
        <v>128</v>
      </c>
      <c r="B87" s="32" t="s">
        <v>129</v>
      </c>
      <c r="C87" s="33" t="s">
        <v>23</v>
      </c>
      <c r="D87" s="30" t="s">
        <v>130</v>
      </c>
      <c r="E87" s="5">
        <f>1700000</f>
        <v>1700000</v>
      </c>
      <c r="F87" s="6"/>
      <c r="G87" s="6"/>
      <c r="H87" s="6"/>
      <c r="I87" s="6"/>
      <c r="J87" s="5">
        <f t="shared" si="21"/>
        <v>0</v>
      </c>
      <c r="K87" s="6"/>
      <c r="L87" s="6"/>
      <c r="M87" s="6"/>
      <c r="N87" s="6"/>
      <c r="O87" s="6"/>
      <c r="P87" s="5">
        <f t="shared" si="11"/>
        <v>1700000</v>
      </c>
    </row>
    <row r="88" spans="1:16" s="1" customFormat="1" ht="20.25" customHeight="1">
      <c r="A88" s="32" t="s">
        <v>175</v>
      </c>
      <c r="B88" s="32" t="s">
        <v>176</v>
      </c>
      <c r="C88" s="33" t="s">
        <v>24</v>
      </c>
      <c r="D88" s="30" t="s">
        <v>177</v>
      </c>
      <c r="E88" s="5">
        <f>F88</f>
        <v>0</v>
      </c>
      <c r="F88" s="6"/>
      <c r="G88" s="6"/>
      <c r="H88" s="6"/>
      <c r="I88" s="6"/>
      <c r="J88" s="5">
        <f t="shared" si="21"/>
        <v>79730</v>
      </c>
      <c r="K88" s="6">
        <f>79730</f>
        <v>79730</v>
      </c>
      <c r="L88" s="6"/>
      <c r="M88" s="6"/>
      <c r="N88" s="6"/>
      <c r="O88" s="6">
        <f>79730</f>
        <v>79730</v>
      </c>
      <c r="P88" s="5">
        <f t="shared" si="11"/>
        <v>79730</v>
      </c>
    </row>
    <row r="89" spans="1:16" s="1" customFormat="1" ht="20.25" customHeight="1">
      <c r="A89" s="32"/>
      <c r="B89" s="32"/>
      <c r="C89" s="33"/>
      <c r="D89" s="47" t="s">
        <v>221</v>
      </c>
      <c r="E89" s="3">
        <f>F89</f>
        <v>2412600</v>
      </c>
      <c r="F89" s="4">
        <v>2412600</v>
      </c>
      <c r="G89" s="6"/>
      <c r="H89" s="6"/>
      <c r="I89" s="6"/>
      <c r="J89" s="5">
        <f t="shared" si="21"/>
        <v>0</v>
      </c>
      <c r="K89" s="6"/>
      <c r="L89" s="6"/>
      <c r="M89" s="6"/>
      <c r="N89" s="6"/>
      <c r="O89" s="6"/>
      <c r="P89" s="3">
        <f t="shared" si="11"/>
        <v>2412600</v>
      </c>
    </row>
    <row r="90" spans="1:16" s="1" customFormat="1" ht="12.75">
      <c r="A90" s="9" t="s">
        <v>122</v>
      </c>
      <c r="B90" s="10" t="s">
        <v>122</v>
      </c>
      <c r="C90" s="11" t="s">
        <v>122</v>
      </c>
      <c r="D90" s="12" t="s">
        <v>123</v>
      </c>
      <c r="E90" s="3">
        <f>E14+E45+E61+E71+E84+E89</f>
        <v>196121037</v>
      </c>
      <c r="F90" s="3">
        <f>F14+F45+F61+F71+F84+F89</f>
        <v>194421037</v>
      </c>
      <c r="G90" s="3">
        <f>G14+G45+G61+G71+G84</f>
        <v>119200682</v>
      </c>
      <c r="H90" s="3">
        <f>H14+H45+H61+H71+H84</f>
        <v>17626093</v>
      </c>
      <c r="I90" s="3">
        <f>I14+I45+I61+I71+I84</f>
        <v>0</v>
      </c>
      <c r="J90" s="3">
        <f t="shared" si="21"/>
        <v>16944986</v>
      </c>
      <c r="K90" s="3">
        <f>K14+K45+K61+K71+K84</f>
        <v>12890236</v>
      </c>
      <c r="L90" s="3">
        <f>L14+L45+L61+L71+L84</f>
        <v>4023750</v>
      </c>
      <c r="M90" s="3">
        <f>M14+M45+M61+M71+M84</f>
        <v>1183767</v>
      </c>
      <c r="N90" s="3">
        <f>N14+N45+N61+N71+N84</f>
        <v>0</v>
      </c>
      <c r="O90" s="3">
        <f>O14+O45+O61+O71+O84</f>
        <v>12921236</v>
      </c>
      <c r="P90" s="3">
        <f>E90+J90</f>
        <v>213066023</v>
      </c>
    </row>
    <row r="91" s="1" customFormat="1" ht="12.75"/>
    <row r="92" s="1" customFormat="1" ht="12.75"/>
    <row r="93" spans="2:9" s="20" customFormat="1" ht="14.25">
      <c r="B93" s="21" t="s">
        <v>212</v>
      </c>
      <c r="E93" s="20" t="s">
        <v>213</v>
      </c>
      <c r="I93" s="21"/>
    </row>
  </sheetData>
  <sheetProtection/>
  <mergeCells count="25">
    <mergeCell ref="O10:O12"/>
    <mergeCell ref="M11:M12"/>
    <mergeCell ref="G10:H10"/>
    <mergeCell ref="B9:B12"/>
    <mergeCell ref="F10:F12"/>
    <mergeCell ref="A9:A12"/>
    <mergeCell ref="H11:H12"/>
    <mergeCell ref="E9:I9"/>
    <mergeCell ref="E10:E12"/>
    <mergeCell ref="I10:I12"/>
    <mergeCell ref="A6:P6"/>
    <mergeCell ref="D9:D12"/>
    <mergeCell ref="C9:C12"/>
    <mergeCell ref="N11:N12"/>
    <mergeCell ref="J9:O9"/>
    <mergeCell ref="N1:P1"/>
    <mergeCell ref="M10:N10"/>
    <mergeCell ref="A5:P5"/>
    <mergeCell ref="G11:G12"/>
    <mergeCell ref="L10:L12"/>
    <mergeCell ref="N2:P2"/>
    <mergeCell ref="J10:J12"/>
    <mergeCell ref="K10:K12"/>
    <mergeCell ref="P9:P12"/>
    <mergeCell ref="N3:P3"/>
  </mergeCells>
  <printOptions/>
  <pageMargins left="0.17" right="0.1968503937007874" top="0.69" bottom="0.33" header="0.68" footer="0.34"/>
  <pageSetup fitToHeight="3"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финупр4</dc:creator>
  <cp:keywords/>
  <dc:description/>
  <cp:lastModifiedBy>финупр1</cp:lastModifiedBy>
  <cp:lastPrinted>2022-04-13T05:33:22Z</cp:lastPrinted>
  <dcterms:created xsi:type="dcterms:W3CDTF">2020-03-04T09:35:24Z</dcterms:created>
  <dcterms:modified xsi:type="dcterms:W3CDTF">2022-05-13T08:23:34Z</dcterms:modified>
  <cp:category/>
  <cp:version/>
  <cp:contentType/>
  <cp:contentStatus/>
</cp:coreProperties>
</file>